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<sst xmlns="http://schemas.openxmlformats.org/spreadsheetml/2006/main" count="219" uniqueCount="103">
  <si>
    <t>Relevés floristiques aquatiques - IBMR</t>
  </si>
  <si>
    <t xml:space="preserve">Formulaire modèle GIS Macrophytes v 3.1.1 - janvier 2013  </t>
  </si>
  <si>
    <t>SAGE</t>
  </si>
  <si>
    <t>SRENAHY LISEBE</t>
  </si>
  <si>
    <t>conforme AFNOR T90-395 oct. 2003</t>
  </si>
  <si>
    <t>GUIERS VIF</t>
  </si>
  <si>
    <t>Guiers Vif aux Echelles</t>
  </si>
  <si>
    <t>06580559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</si>
  <si>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</si>
  <si>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</si>
  <si>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</si>
  <si>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</si>
  <si>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</si>
  <si>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</si>
  <si>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</si>
  <si>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</si>
  <si>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DRASPX</t>
  </si>
  <si>
    <t>Faciès dominant</t>
  </si>
  <si>
    <t>radier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</si>
  <si>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</si>
  <si>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</si>
  <si>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</si>
  <si>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</si>
  <si>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</si>
  <si>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</si>
  <si>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</si>
  <si>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</si>
  <si>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</si>
  <si>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</si>
  <si>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</si>
  <si>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</si>
  <si>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</si>
  <si>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</si>
  <si>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</si>
  <si>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</si>
  <si>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</si>
  <si>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</si>
  <si>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</si>
  <si>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</si>
  <si>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</si>
  <si>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</si>
  <si>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</si>
  <si>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</si>
  <si>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</si>
  <si>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</si>
  <si>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</si>
  <si>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</si>
  <si>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</si>
  <si>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</si>
  <si>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</si>
  <si>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</si>
  <si>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</si>
  <si>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</si>
  <si>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</si>
  <si>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</si>
  <si>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</si>
  <si>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</si>
  <si>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</si>
  <si>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</si>
  <si>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</si>
  <si>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</si>
  <si>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</si>
  <si>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</si>
  <si>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</si>
  <si>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</si>
  <si>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</si>
  <si>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</si>
  <si>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</si>
  <si>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</si>
  <si>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</si>
  <si>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</si>
  <si>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</si>
  <si>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</si>
  <si>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</si>
  <si>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</si>
  <si>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</si>
  <si>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</si>
  <si>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</si>
  <si>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</si>
  <si>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DIASPX</t>
  </si>
  <si>
    <t>MELSPX</t>
  </si>
  <si>
    <t>MICSPX</t>
  </si>
  <si>
    <t>OEDSPX</t>
  </si>
  <si>
    <t>SPISPX</t>
  </si>
  <si>
    <t>STISPX</t>
  </si>
  <si>
    <t>TETSPX</t>
  </si>
  <si>
    <t>ULOSPX</t>
  </si>
  <si>
    <t>VAUSPX</t>
  </si>
  <si>
    <t>CINAQU</t>
  </si>
  <si>
    <t>CINRIP</t>
  </si>
  <si>
    <t>CRACOM</t>
  </si>
  <si>
    <t>FONANT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</si>
  <si>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</si>
  <si>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</si>
  <si>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</si>
  <si>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</si>
  <si>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</si>
  <si>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</si>
  <si>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</si>
  <si>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</si>
  <si>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</si>
  <si>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</si>
  <si>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</t>
    </r>
    <r>
      <rPr>
        <i/>
        <sz val="10"/>
        <rFont val="Arial"/>
        <family val="2"/>
      </rPr>
      <t>rec/faciès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</si>
</sst>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\ _F"/>
    <numFmt numFmtId="179" formatCode="#,##0.00\ _F"/>
    <numFmt numFmtId="180" formatCode="0;\-0;;@\ "/>
    <numFmt numFmtId="181" formatCode="#,##0.00\ _€"/>
    <numFmt numFmtId="182" formatCode="#,##0\ _€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75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left"/>
      <protection hidden="1"/>
    </xf>
    <xf numFmtId="0" fontId="21" fillId="24" borderId="11" xfId="0" applyFont="1" applyFill="1" applyBorder="1" applyAlignment="1" applyProtection="1">
      <alignment horizontal="center"/>
      <protection hidden="1"/>
    </xf>
    <xf numFmtId="0" fontId="21" fillId="17" borderId="11" xfId="0" applyFont="1" applyFill="1" applyBorder="1" applyAlignment="1" applyProtection="1">
      <alignment horizontal="center"/>
      <protection hidden="1"/>
    </xf>
    <xf numFmtId="0" fontId="22" fillId="24" borderId="11" xfId="0" applyFont="1" applyFill="1" applyBorder="1" applyAlignment="1" applyProtection="1">
      <alignment horizontal="left"/>
      <protection hidden="1"/>
    </xf>
    <xf numFmtId="0" fontId="21" fillId="0" borderId="11" xfId="0" applyFont="1" applyFill="1" applyBorder="1" applyAlignment="1" applyProtection="1">
      <alignment horizontal="center"/>
      <protection locked="0"/>
    </xf>
    <xf numFmtId="0" fontId="23" fillId="24" borderId="11" xfId="0" applyFont="1" applyFill="1" applyBorder="1" applyAlignment="1" applyProtection="1">
      <alignment horizontal="right"/>
      <protection hidden="1"/>
    </xf>
    <xf numFmtId="0" fontId="23" fillId="25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4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5" fillId="26" borderId="10" xfId="0" applyFont="1" applyFill="1" applyBorder="1" applyAlignment="1" applyProtection="1">
      <alignment horizontal="left"/>
      <protection locked="0"/>
    </xf>
    <xf numFmtId="0" fontId="25" fillId="26" borderId="15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 locked="0"/>
    </xf>
    <xf numFmtId="0" fontId="26" fillId="17" borderId="11" xfId="0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/>
      <protection/>
    </xf>
    <xf numFmtId="0" fontId="26" fillId="26" borderId="11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/>
    </xf>
    <xf numFmtId="0" fontId="27" fillId="24" borderId="11" xfId="0" applyFont="1" applyFill="1" applyBorder="1" applyAlignment="1" applyProtection="1">
      <alignment horizontal="left"/>
      <protection locked="0"/>
    </xf>
    <xf numFmtId="0" fontId="23" fillId="24" borderId="0" xfId="0" applyFont="1" applyFill="1" applyAlignment="1" applyProtection="1">
      <alignment horizontal="right"/>
      <protection hidden="1"/>
    </xf>
    <xf numFmtId="0" fontId="0" fillId="15" borderId="16" xfId="0" applyFill="1" applyBorder="1" applyAlignment="1" applyProtection="1">
      <alignment/>
      <protection hidden="1"/>
    </xf>
    <xf numFmtId="0" fontId="0" fillId="15" borderId="17" xfId="0" applyFill="1" applyBorder="1" applyAlignment="1" applyProtection="1">
      <alignment/>
      <protection hidden="1"/>
    </xf>
    <xf numFmtId="0" fontId="25" fillId="17" borderId="18" xfId="0" applyFont="1" applyFill="1" applyBorder="1" applyAlignment="1" applyProtection="1">
      <alignment/>
      <protection hidden="1"/>
    </xf>
    <xf numFmtId="0" fontId="25" fillId="26" borderId="11" xfId="0" applyFont="1" applyFill="1" applyBorder="1" applyAlignment="1" applyProtection="1">
      <alignment/>
      <protection hidden="1"/>
    </xf>
    <xf numFmtId="0" fontId="25" fillId="26" borderId="18" xfId="0" applyFont="1" applyFill="1" applyBorder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49" fontId="25" fillId="26" borderId="19" xfId="0" applyNumberFormat="1" applyFont="1" applyFill="1" applyBorder="1" applyAlignment="1" applyProtection="1">
      <alignment/>
      <protection locked="0"/>
    </xf>
    <xf numFmtId="0" fontId="25" fillId="26" borderId="0" xfId="0" applyFont="1" applyFill="1" applyAlignment="1" applyProtection="1">
      <alignment/>
      <protection hidden="1"/>
    </xf>
    <xf numFmtId="0" fontId="25" fillId="26" borderId="19" xfId="0" applyFont="1" applyFill="1" applyBorder="1" applyAlignment="1" applyProtection="1">
      <alignment horizontal="left"/>
      <protection locked="0"/>
    </xf>
    <xf numFmtId="0" fontId="25" fillId="26" borderId="20" xfId="0" applyFont="1" applyFill="1" applyBorder="1" applyAlignment="1" applyProtection="1">
      <alignment horizontal="right"/>
      <protection hidden="1"/>
    </xf>
    <xf numFmtId="0" fontId="25" fillId="25" borderId="12" xfId="0" applyFont="1" applyFill="1" applyBorder="1" applyAlignment="1" applyProtection="1">
      <alignment horizontal="right"/>
      <protection hidden="1"/>
    </xf>
    <xf numFmtId="15" fontId="25" fillId="26" borderId="21" xfId="0" applyNumberFormat="1" applyFont="1" applyFill="1" applyBorder="1" applyAlignment="1" applyProtection="1">
      <alignment horizontal="left"/>
      <protection locked="0"/>
    </xf>
    <xf numFmtId="0" fontId="25" fillId="20" borderId="22" xfId="0" applyFont="1" applyFill="1" applyBorder="1" applyAlignment="1" applyProtection="1">
      <alignment horizontal="left"/>
      <protection hidden="1"/>
    </xf>
    <xf numFmtId="0" fontId="25" fillId="20" borderId="22" xfId="0" applyFont="1" applyFill="1" applyBorder="1" applyAlignment="1" applyProtection="1">
      <alignment/>
      <protection hidden="1"/>
    </xf>
    <xf numFmtId="0" fontId="25" fillId="17" borderId="22" xfId="0" applyFont="1" applyFill="1" applyBorder="1" applyAlignment="1" applyProtection="1">
      <alignment/>
      <protection hidden="1"/>
    </xf>
    <xf numFmtId="0" fontId="28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9" fillId="4" borderId="25" xfId="0" applyFont="1" applyFill="1" applyBorder="1" applyAlignment="1" applyProtection="1">
      <alignment/>
      <protection hidden="1"/>
    </xf>
    <xf numFmtId="0" fontId="29" fillId="25" borderId="26" xfId="0" applyFont="1" applyFill="1" applyBorder="1" applyAlignment="1" applyProtection="1">
      <alignment/>
      <protection hidden="1"/>
    </xf>
    <xf numFmtId="0" fontId="24" fillId="15" borderId="17" xfId="0" applyFont="1" applyFill="1" applyBorder="1" applyAlignment="1" applyProtection="1">
      <alignment horizontal="center"/>
      <protection hidden="1"/>
    </xf>
    <xf numFmtId="0" fontId="20" fillId="22" borderId="27" xfId="0" applyFont="1" applyFill="1" applyBorder="1" applyAlignment="1" applyProtection="1">
      <alignment/>
      <protection hidden="1"/>
    </xf>
    <xf numFmtId="0" fontId="25" fillId="22" borderId="28" xfId="0" applyFont="1" applyFill="1" applyBorder="1" applyAlignment="1" applyProtection="1">
      <alignment horizontal="center"/>
      <protection hidden="1"/>
    </xf>
    <xf numFmtId="0" fontId="25" fillId="22" borderId="29" xfId="0" applyFont="1" applyFill="1" applyBorder="1" applyAlignment="1" applyProtection="1">
      <alignment horizontal="center"/>
      <protection hidden="1"/>
    </xf>
    <xf numFmtId="0" fontId="25" fillId="17" borderId="0" xfId="0" applyFont="1" applyFill="1" applyBorder="1" applyAlignment="1" applyProtection="1">
      <alignment horizontal="center"/>
      <protection hidden="1"/>
    </xf>
    <xf numFmtId="0" fontId="25" fillId="22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Border="1" applyAlignment="1" applyProtection="1">
      <alignment horizontal="center"/>
      <protection hidden="1"/>
    </xf>
    <xf numFmtId="0" fontId="25" fillId="4" borderId="30" xfId="0" applyFont="1" applyFill="1" applyBorder="1" applyAlignment="1" applyProtection="1">
      <alignment horizontal="left"/>
      <protection hidden="1"/>
    </xf>
    <xf numFmtId="0" fontId="25" fillId="4" borderId="31" xfId="0" applyFont="1" applyFill="1" applyBorder="1" applyAlignment="1" applyProtection="1">
      <alignment horizontal="center"/>
      <protection hidden="1"/>
    </xf>
    <xf numFmtId="0" fontId="30" fillId="4" borderId="31" xfId="0" applyFont="1" applyFill="1" applyBorder="1" applyAlignment="1" applyProtection="1">
      <alignment horizontal="center"/>
      <protection hidden="1"/>
    </xf>
    <xf numFmtId="2" fontId="31" fillId="27" borderId="32" xfId="0" applyNumberFormat="1" applyFont="1" applyFill="1" applyBorder="1" applyAlignment="1" applyProtection="1">
      <alignment horizontal="right" vertical="top"/>
      <protection hidden="1"/>
    </xf>
    <xf numFmtId="2" fontId="31" fillId="27" borderId="33" xfId="0" applyNumberFormat="1" applyFont="1" applyFill="1" applyBorder="1" applyAlignment="1" applyProtection="1">
      <alignment horizontal="left" vertical="top"/>
      <protection hidden="1"/>
    </xf>
    <xf numFmtId="2" fontId="32" fillId="28" borderId="24" xfId="0" applyNumberFormat="1" applyFont="1" applyFill="1" applyBorder="1" applyAlignment="1" applyProtection="1">
      <alignment horizontal="left" vertical="top"/>
      <protection hidden="1"/>
    </xf>
    <xf numFmtId="2" fontId="0" fillId="28" borderId="24" xfId="0" applyNumberFormat="1" applyFont="1" applyFill="1" applyBorder="1" applyAlignment="1" applyProtection="1">
      <alignment horizontal="center" vertical="top"/>
      <protection hidden="1"/>
    </xf>
    <xf numFmtId="2" fontId="32" fillId="25" borderId="26" xfId="0" applyNumberFormat="1" applyFont="1" applyFill="1" applyBorder="1" applyAlignment="1" applyProtection="1">
      <alignment horizontal="left" vertical="top"/>
      <protection hidden="1"/>
    </xf>
    <xf numFmtId="0" fontId="25" fillId="26" borderId="34" xfId="0" applyFont="1" applyFill="1" applyBorder="1" applyAlignment="1" applyProtection="1">
      <alignment horizontal="center"/>
      <protection locked="0"/>
    </xf>
    <xf numFmtId="0" fontId="29" fillId="4" borderId="35" xfId="0" applyFont="1" applyFill="1" applyBorder="1" applyAlignment="1" applyProtection="1">
      <alignment horizontal="left"/>
      <protection hidden="1"/>
    </xf>
    <xf numFmtId="0" fontId="25" fillId="4" borderId="36" xfId="0" applyFont="1" applyFill="1" applyBorder="1" applyAlignment="1" applyProtection="1">
      <alignment horizontal="center"/>
      <protection hidden="1"/>
    </xf>
    <xf numFmtId="0" fontId="0" fillId="4" borderId="36" xfId="0" applyFill="1" applyBorder="1" applyAlignment="1" applyProtection="1">
      <alignment/>
      <protection hidden="1"/>
    </xf>
    <xf numFmtId="0" fontId="33" fillId="27" borderId="37" xfId="0" applyFont="1" applyFill="1" applyBorder="1" applyAlignment="1" applyProtection="1">
      <alignment horizontal="left"/>
      <protection hidden="1"/>
    </xf>
    <xf numFmtId="0" fontId="25" fillId="27" borderId="38" xfId="0" applyFont="1" applyFill="1" applyBorder="1" applyAlignment="1" applyProtection="1">
      <alignment horizontal="right" vertical="top"/>
      <protection hidden="1"/>
    </xf>
    <xf numFmtId="0" fontId="34" fillId="28" borderId="39" xfId="0" applyFont="1" applyFill="1" applyBorder="1" applyAlignment="1" applyProtection="1">
      <alignment horizontal="center" vertical="top"/>
      <protection hidden="1"/>
    </xf>
    <xf numFmtId="0" fontId="35" fillId="25" borderId="26" xfId="0" applyFont="1" applyFill="1" applyBorder="1" applyAlignment="1" applyProtection="1">
      <alignment horizontal="center" vertical="top"/>
      <protection hidden="1"/>
    </xf>
    <xf numFmtId="0" fontId="36" fillId="22" borderId="27" xfId="0" applyFont="1" applyFill="1" applyBorder="1" applyAlignment="1" applyProtection="1">
      <alignment/>
      <protection hidden="1"/>
    </xf>
    <xf numFmtId="0" fontId="0" fillId="26" borderId="15" xfId="0" applyFont="1" applyFill="1" applyBorder="1" applyAlignment="1" applyProtection="1">
      <alignment horizontal="center"/>
      <protection locked="0"/>
    </xf>
    <xf numFmtId="0" fontId="0" fillId="26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Alignment="1" applyProtection="1">
      <alignment horizontal="left"/>
      <protection hidden="1"/>
    </xf>
    <xf numFmtId="0" fontId="25" fillId="20" borderId="0" xfId="0" applyFont="1" applyFill="1" applyBorder="1" applyAlignment="1" applyProtection="1">
      <alignment horizontal="left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7" fillId="4" borderId="0" xfId="0" applyFont="1" applyFill="1" applyBorder="1" applyAlignment="1" applyProtection="1">
      <alignment horizontal="center" textRotation="90"/>
      <protection hidden="1"/>
    </xf>
    <xf numFmtId="0" fontId="32" fillId="4" borderId="0" xfId="0" applyFont="1" applyFill="1" applyBorder="1" applyAlignment="1" applyProtection="1">
      <alignment horizontal="right"/>
      <protection hidden="1"/>
    </xf>
    <xf numFmtId="0" fontId="38" fillId="4" borderId="40" xfId="0" applyFont="1" applyFill="1" applyBorder="1" applyAlignment="1" applyProtection="1">
      <alignment horizontal="left" vertical="top"/>
      <protection hidden="1"/>
    </xf>
    <xf numFmtId="0" fontId="39" fillId="4" borderId="22" xfId="0" applyFont="1" applyFill="1" applyBorder="1" applyAlignment="1" applyProtection="1">
      <alignment horizontal="left" vertical="top"/>
      <protection hidden="1"/>
    </xf>
    <xf numFmtId="0" fontId="39" fillId="4" borderId="41" xfId="0" applyFont="1" applyFill="1" applyBorder="1" applyAlignment="1" applyProtection="1">
      <alignment horizontal="left" vertical="top"/>
      <protection hidden="1"/>
    </xf>
    <xf numFmtId="0" fontId="39" fillId="25" borderId="0" xfId="0" applyFont="1" applyFill="1" applyBorder="1" applyAlignment="1" applyProtection="1">
      <alignment horizontal="left" vertical="top"/>
      <protection hidden="1"/>
    </xf>
    <xf numFmtId="0" fontId="25" fillId="22" borderId="10" xfId="0" applyFont="1" applyFill="1" applyBorder="1" applyAlignment="1" applyProtection="1">
      <alignment horizontal="center"/>
      <protection hidden="1"/>
    </xf>
    <xf numFmtId="0" fontId="25" fillId="22" borderId="11" xfId="0" applyFont="1" applyFill="1" applyBorder="1" applyAlignment="1" applyProtection="1">
      <alignment horizontal="center"/>
      <protection hidden="1"/>
    </xf>
    <xf numFmtId="0" fontId="32" fillId="20" borderId="0" xfId="0" applyFont="1" applyFill="1" applyAlignment="1" applyProtection="1">
      <alignment horizontal="left"/>
      <protection hidden="1"/>
    </xf>
    <xf numFmtId="0" fontId="32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40" fillId="4" borderId="42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center" vertical="top"/>
      <protection hidden="1"/>
    </xf>
    <xf numFmtId="171" fontId="0" fillId="25" borderId="26" xfId="0" applyNumberFormat="1" applyFont="1" applyFill="1" applyBorder="1" applyAlignment="1" applyProtection="1">
      <alignment horizontal="left" vertical="top"/>
      <protection hidden="1"/>
    </xf>
    <xf numFmtId="2" fontId="25" fillId="26" borderId="15" xfId="0" applyNumberFormat="1" applyFont="1" applyFill="1" applyBorder="1" applyAlignment="1" applyProtection="1">
      <alignment horizontal="center"/>
      <protection locked="0"/>
    </xf>
    <xf numFmtId="2" fontId="25" fillId="26" borderId="21" xfId="0" applyNumberFormat="1" applyFont="1" applyFill="1" applyBorder="1" applyAlignment="1" applyProtection="1">
      <alignment horizontal="center"/>
      <protection locked="0"/>
    </xf>
    <xf numFmtId="177" fontId="25" fillId="17" borderId="11" xfId="0" applyNumberFormat="1" applyFont="1" applyFill="1" applyBorder="1" applyAlignment="1" applyProtection="1">
      <alignment horizontal="center"/>
      <protection hidden="1"/>
    </xf>
    <xf numFmtId="2" fontId="41" fillId="20" borderId="11" xfId="0" applyNumberFormat="1" applyFont="1" applyFill="1" applyBorder="1" applyAlignment="1" applyProtection="1">
      <alignment horizontal="right"/>
      <protection hidden="1"/>
    </xf>
    <xf numFmtId="177" fontId="41" fillId="20" borderId="0" xfId="0" applyNumberFormat="1" applyFont="1" applyFill="1" applyBorder="1" applyAlignment="1" applyProtection="1">
      <alignment horizontal="right"/>
      <protection hidden="1"/>
    </xf>
    <xf numFmtId="0" fontId="25" fillId="17" borderId="11" xfId="0" applyFont="1" applyFill="1" applyBorder="1" applyAlignment="1" applyProtection="1">
      <alignment horizontal="center"/>
      <protection hidden="1"/>
    </xf>
    <xf numFmtId="0" fontId="25" fillId="4" borderId="26" xfId="0" applyFont="1" applyFill="1" applyBorder="1" applyAlignment="1" applyProtection="1">
      <alignment horizontal="center"/>
      <protection hidden="1"/>
    </xf>
    <xf numFmtId="0" fontId="25" fillId="4" borderId="0" xfId="0" applyFont="1" applyFill="1" applyBorder="1" applyAlignment="1" applyProtection="1">
      <alignment horizontal="center"/>
      <protection hidden="1"/>
    </xf>
    <xf numFmtId="2" fontId="0" fillId="4" borderId="43" xfId="0" applyNumberFormat="1" applyFont="1" applyFill="1" applyBorder="1" applyAlignment="1" applyProtection="1">
      <alignment horizontal="left"/>
      <protection hidden="1"/>
    </xf>
    <xf numFmtId="0" fontId="0" fillId="15" borderId="44" xfId="0" applyFill="1" applyBorder="1" applyAlignment="1" applyProtection="1">
      <alignment/>
      <protection hidden="1"/>
    </xf>
    <xf numFmtId="0" fontId="0" fillId="15" borderId="45" xfId="0" applyFill="1" applyBorder="1" applyAlignment="1" applyProtection="1">
      <alignment/>
      <protection hidden="1"/>
    </xf>
    <xf numFmtId="0" fontId="42" fillId="22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6" xfId="0" applyFont="1" applyFill="1" applyBorder="1" applyAlignment="1" applyProtection="1">
      <alignment horizontal="center"/>
      <protection hidden="1"/>
    </xf>
    <xf numFmtId="2" fontId="29" fillId="4" borderId="11" xfId="0" applyNumberFormat="1" applyFont="1" applyFill="1" applyBorder="1" applyAlignment="1" applyProtection="1">
      <alignment horizontal="left"/>
      <protection hidden="1"/>
    </xf>
    <xf numFmtId="2" fontId="0" fillId="4" borderId="15" xfId="0" applyNumberFormat="1" applyFont="1" applyFill="1" applyBorder="1" applyAlignment="1" applyProtection="1">
      <alignment horizontal="center"/>
      <protection hidden="1"/>
    </xf>
    <xf numFmtId="0" fontId="40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left" vertical="top"/>
      <protection hidden="1"/>
    </xf>
    <xf numFmtId="0" fontId="26" fillId="22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20" fillId="20" borderId="0" xfId="0" applyNumberFormat="1" applyFont="1" applyFill="1" applyAlignment="1" applyProtection="1">
      <alignment/>
      <protection hidden="1"/>
    </xf>
    <xf numFmtId="177" fontId="20" fillId="20" borderId="0" xfId="0" applyNumberFormat="1" applyFont="1" applyFill="1" applyBorder="1" applyAlignment="1" applyProtection="1">
      <alignment/>
      <protection hidden="1"/>
    </xf>
    <xf numFmtId="1" fontId="0" fillId="4" borderId="50" xfId="0" applyNumberFormat="1" applyFont="1" applyFill="1" applyBorder="1" applyAlignment="1" applyProtection="1">
      <alignment horizontal="center"/>
      <protection hidden="1"/>
    </xf>
    <xf numFmtId="1" fontId="0" fillId="4" borderId="51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26" fillId="22" borderId="53" xfId="0" applyFont="1" applyFill="1" applyBorder="1" applyAlignment="1" applyProtection="1">
      <alignment/>
      <protection hidden="1"/>
    </xf>
    <xf numFmtId="2" fontId="0" fillId="3" borderId="54" xfId="0" applyNumberFormat="1" applyFont="1" applyFill="1" applyBorder="1" applyAlignment="1" applyProtection="1">
      <alignment horizontal="center"/>
      <protection locked="0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177" fontId="20" fillId="20" borderId="0" xfId="0" applyNumberFormat="1" applyFont="1" applyFill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8" fillId="4" borderId="10" xfId="0" applyFont="1" applyFill="1" applyBorder="1" applyAlignment="1" applyProtection="1">
      <alignment horizontal="left" vertical="top"/>
      <protection hidden="1"/>
    </xf>
    <xf numFmtId="0" fontId="29" fillId="4" borderId="11" xfId="0" applyFont="1" applyFill="1" applyBorder="1" applyAlignment="1" applyProtection="1">
      <alignment horizontal="left" vertical="top"/>
      <protection hidden="1"/>
    </xf>
    <xf numFmtId="0" fontId="39" fillId="4" borderId="11" xfId="0" applyFont="1" applyFill="1" applyBorder="1" applyAlignment="1" applyProtection="1">
      <alignment horizontal="left" vertical="top"/>
      <protection hidden="1"/>
    </xf>
    <xf numFmtId="0" fontId="29" fillId="25" borderId="26" xfId="0" applyFont="1" applyFill="1" applyBorder="1" applyAlignment="1" applyProtection="1">
      <alignment horizontal="left" vertical="top"/>
      <protection hidden="1"/>
    </xf>
    <xf numFmtId="1" fontId="0" fillId="4" borderId="56" xfId="0" applyNumberFormat="1" applyFont="1" applyFill="1" applyBorder="1" applyAlignment="1" applyProtection="1">
      <alignment horizontal="center"/>
      <protection hidden="1"/>
    </xf>
    <xf numFmtId="0" fontId="32" fillId="4" borderId="57" xfId="0" applyFont="1" applyFill="1" applyBorder="1" applyAlignment="1" applyProtection="1">
      <alignment horizontal="right" vertical="top"/>
      <protection hidden="1"/>
    </xf>
    <xf numFmtId="169" fontId="0" fillId="4" borderId="18" xfId="0" applyNumberFormat="1" applyFont="1" applyFill="1" applyBorder="1" applyAlignment="1" applyProtection="1">
      <alignment horizontal="right" vertical="top"/>
      <protection hidden="1"/>
    </xf>
    <xf numFmtId="0" fontId="0" fillId="4" borderId="18" xfId="0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right" vertical="top"/>
      <protection hidden="1"/>
    </xf>
    <xf numFmtId="0" fontId="32" fillId="4" borderId="58" xfId="0" applyFont="1" applyFill="1" applyBorder="1" applyAlignment="1" applyProtection="1">
      <alignment horizontal="right" vertical="top"/>
      <protection hidden="1"/>
    </xf>
    <xf numFmtId="169" fontId="0" fillId="4" borderId="59" xfId="0" applyNumberFormat="1" applyFont="1" applyFill="1" applyBorder="1" applyAlignment="1" applyProtection="1">
      <alignment horizontal="right" vertical="top"/>
      <protection hidden="1"/>
    </xf>
    <xf numFmtId="0" fontId="0" fillId="4" borderId="59" xfId="0" applyFont="1" applyFill="1" applyBorder="1" applyAlignment="1" applyProtection="1">
      <alignment horizontal="left" vertical="top"/>
      <protection hidden="1"/>
    </xf>
    <xf numFmtId="0" fontId="26" fillId="22" borderId="60" xfId="0" applyFont="1" applyFill="1" applyBorder="1" applyAlignment="1" applyProtection="1">
      <alignment/>
      <protection hidden="1"/>
    </xf>
    <xf numFmtId="2" fontId="0" fillId="3" borderId="61" xfId="0" applyNumberFormat="1" applyFont="1" applyFill="1" applyBorder="1" applyAlignment="1" applyProtection="1">
      <alignment horizontal="center"/>
      <protection locked="0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0" fontId="32" fillId="4" borderId="63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0" xfId="0" applyFont="1" applyFill="1" applyBorder="1" applyAlignment="1" applyProtection="1">
      <alignment horizontal="left" vertical="top"/>
      <protection hidden="1"/>
    </xf>
    <xf numFmtId="177" fontId="0" fillId="17" borderId="18" xfId="0" applyNumberFormat="1" applyFont="1" applyFill="1" applyBorder="1" applyAlignment="1" applyProtection="1">
      <alignment horizontal="center"/>
      <protection hidden="1"/>
    </xf>
    <xf numFmtId="2" fontId="20" fillId="20" borderId="18" xfId="0" applyNumberFormat="1" applyFont="1" applyFill="1" applyBorder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26" fillId="22" borderId="64" xfId="0" applyFont="1" applyFill="1" applyBorder="1" applyAlignment="1" applyProtection="1">
      <alignment/>
      <protection hidden="1"/>
    </xf>
    <xf numFmtId="2" fontId="0" fillId="3" borderId="65" xfId="0" applyNumberFormat="1" applyFont="1" applyFill="1" applyBorder="1" applyAlignment="1" applyProtection="1">
      <alignment horizontal="center"/>
      <protection locked="0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177" fontId="29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20" borderId="10" xfId="0" applyFont="1" applyFill="1" applyBorder="1" applyAlignment="1" applyProtection="1">
      <alignment/>
      <protection hidden="1"/>
    </xf>
    <xf numFmtId="0" fontId="43" fillId="20" borderId="11" xfId="0" applyFont="1" applyFill="1" applyBorder="1" applyAlignment="1" applyProtection="1">
      <alignment horizontal="center"/>
      <protection hidden="1"/>
    </xf>
    <xf numFmtId="0" fontId="32" fillId="20" borderId="15" xfId="0" applyFont="1" applyFill="1" applyBorder="1" applyAlignment="1" applyProtection="1">
      <alignment/>
      <protection hidden="1"/>
    </xf>
    <xf numFmtId="0" fontId="44" fillId="17" borderId="35" xfId="0" applyFont="1" applyFill="1" applyBorder="1" applyAlignment="1" applyProtection="1">
      <alignment/>
      <protection hidden="1"/>
    </xf>
    <xf numFmtId="0" fontId="45" fillId="17" borderId="35" xfId="0" applyFont="1" applyFill="1" applyBorder="1" applyAlignment="1" applyProtection="1">
      <alignment/>
      <protection hidden="1"/>
    </xf>
    <xf numFmtId="2" fontId="27" fillId="22" borderId="11" xfId="0" applyNumberFormat="1" applyFont="1" applyFill="1" applyBorder="1" applyAlignment="1" applyProtection="1">
      <alignment horizontal="right"/>
      <protection hidden="1"/>
    </xf>
    <xf numFmtId="0" fontId="32" fillId="17" borderId="0" xfId="0" applyFont="1" applyFill="1" applyBorder="1" applyAlignment="1" applyProtection="1">
      <alignment/>
      <protection hidden="1"/>
    </xf>
    <xf numFmtId="0" fontId="0" fillId="4" borderId="35" xfId="0" applyFill="1" applyBorder="1" applyAlignment="1" applyProtection="1">
      <alignment/>
      <protection hidden="1"/>
    </xf>
    <xf numFmtId="0" fontId="32" fillId="4" borderId="36" xfId="0" applyFont="1" applyFill="1" applyBorder="1" applyAlignment="1" applyProtection="1">
      <alignment/>
      <protection hidden="1"/>
    </xf>
    <xf numFmtId="2" fontId="25" fillId="4" borderId="36" xfId="0" applyNumberFormat="1" applyFont="1" applyFill="1" applyBorder="1" applyAlignment="1" applyProtection="1">
      <alignment horizontal="left"/>
      <protection hidden="1"/>
    </xf>
    <xf numFmtId="2" fontId="25" fillId="4" borderId="67" xfId="0" applyNumberFormat="1" applyFont="1" applyFill="1" applyBorder="1" applyAlignment="1" applyProtection="1">
      <alignment horizontal="left"/>
      <protection hidden="1"/>
    </xf>
    <xf numFmtId="0" fontId="0" fillId="4" borderId="68" xfId="0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horizontal="left" vertical="top"/>
      <protection hidden="1"/>
    </xf>
    <xf numFmtId="0" fontId="25" fillId="22" borderId="27" xfId="0" applyFont="1" applyFill="1" applyBorder="1" applyAlignment="1" applyProtection="1">
      <alignment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69" xfId="0" applyFont="1" applyFill="1" applyBorder="1" applyAlignment="1" applyProtection="1">
      <alignment horizontal="center"/>
      <protection hidden="1"/>
    </xf>
    <xf numFmtId="0" fontId="29" fillId="17" borderId="69" xfId="0" applyFont="1" applyFill="1" applyBorder="1" applyAlignment="1" applyProtection="1">
      <alignment horizontal="center"/>
      <protection hidden="1"/>
    </xf>
    <xf numFmtId="2" fontId="20" fillId="22" borderId="0" xfId="0" applyNumberFormat="1" applyFont="1" applyFill="1" applyAlignment="1" applyProtection="1">
      <alignment/>
      <protection hidden="1"/>
    </xf>
    <xf numFmtId="1" fontId="25" fillId="22" borderId="69" xfId="0" applyNumberFormat="1" applyFont="1" applyFill="1" applyBorder="1" applyAlignment="1" applyProtection="1">
      <alignment horizontal="center"/>
      <protection hidden="1"/>
    </xf>
    <xf numFmtId="1" fontId="25" fillId="17" borderId="18" xfId="0" applyNumberFormat="1" applyFont="1" applyFill="1" applyBorder="1" applyAlignment="1" applyProtection="1">
      <alignment horizontal="center"/>
      <protection hidden="1"/>
    </xf>
    <xf numFmtId="1" fontId="25" fillId="22" borderId="0" xfId="0" applyNumberFormat="1" applyFont="1" applyFill="1" applyBorder="1" applyAlignment="1" applyProtection="1">
      <alignment horizontal="center"/>
      <protection hidden="1"/>
    </xf>
    <xf numFmtId="0" fontId="25" fillId="22" borderId="18" xfId="0" applyFont="1" applyFill="1" applyBorder="1" applyAlignment="1" applyProtection="1">
      <alignment horizontal="center"/>
      <protection hidden="1"/>
    </xf>
    <xf numFmtId="0" fontId="32" fillId="22" borderId="0" xfId="0" applyFont="1" applyFill="1" applyBorder="1" applyAlignment="1" applyProtection="1">
      <alignment horizontal="left"/>
      <protection hidden="1"/>
    </xf>
    <xf numFmtId="0" fontId="32" fillId="22" borderId="25" xfId="0" applyFont="1" applyFill="1" applyBorder="1" applyAlignment="1" applyProtection="1">
      <alignment horizontal="left"/>
      <protection hidden="1"/>
    </xf>
    <xf numFmtId="0" fontId="32" fillId="25" borderId="42" xfId="0" applyFont="1" applyFill="1" applyBorder="1" applyAlignment="1" applyProtection="1">
      <alignment horizontal="left"/>
      <protection hidden="1"/>
    </xf>
    <xf numFmtId="0" fontId="29" fillId="17" borderId="0" xfId="0" applyFont="1" applyFill="1" applyAlignment="1" applyProtection="1">
      <alignment horizontal="left"/>
      <protection hidden="1"/>
    </xf>
    <xf numFmtId="0" fontId="32" fillId="22" borderId="27" xfId="0" applyFont="1" applyFill="1" applyBorder="1" applyAlignment="1" applyProtection="1">
      <alignment horizontal="right"/>
      <protection hidden="1"/>
    </xf>
    <xf numFmtId="2" fontId="0" fillId="22" borderId="15" xfId="0" applyNumberFormat="1" applyFont="1" applyFill="1" applyBorder="1" applyAlignment="1" applyProtection="1">
      <alignment horizontal="center"/>
      <protection hidden="1"/>
    </xf>
    <xf numFmtId="177" fontId="45" fillId="17" borderId="0" xfId="0" applyNumberFormat="1" applyFont="1" applyFill="1" applyBorder="1" applyAlignment="1" applyProtection="1">
      <alignment horizontal="left"/>
      <protection hidden="1"/>
    </xf>
    <xf numFmtId="2" fontId="25" fillId="22" borderId="34" xfId="0" applyNumberFormat="1" applyFont="1" applyFill="1" applyBorder="1" applyAlignment="1" applyProtection="1">
      <alignment horizontal="center"/>
      <protection hidden="1"/>
    </xf>
    <xf numFmtId="177" fontId="43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5" fillId="22" borderId="0" xfId="0" applyNumberFormat="1" applyFont="1" applyFill="1" applyBorder="1" applyAlignment="1" applyProtection="1">
      <alignment horizontal="center"/>
      <protection hidden="1"/>
    </xf>
    <xf numFmtId="0" fontId="46" fillId="22" borderId="0" xfId="0" applyFont="1" applyFill="1" applyBorder="1" applyAlignment="1" applyProtection="1">
      <alignment/>
      <protection hidden="1"/>
    </xf>
    <xf numFmtId="0" fontId="46" fillId="22" borderId="22" xfId="0" applyFont="1" applyFill="1" applyBorder="1" applyAlignment="1" applyProtection="1">
      <alignment/>
      <protection hidden="1"/>
    </xf>
    <xf numFmtId="0" fontId="46" fillId="25" borderId="40" xfId="0" applyFont="1" applyFill="1" applyBorder="1" applyAlignment="1" applyProtection="1">
      <alignment/>
      <protection hidden="1"/>
    </xf>
    <xf numFmtId="0" fontId="29" fillId="17" borderId="0" xfId="0" applyFont="1" applyFill="1" applyAlignment="1" applyProtection="1">
      <alignment/>
      <protection hidden="1"/>
    </xf>
    <xf numFmtId="0" fontId="45" fillId="22" borderId="27" xfId="0" applyFont="1" applyFill="1" applyBorder="1" applyAlignment="1" applyProtection="1">
      <alignment horizontal="center"/>
      <protection hidden="1"/>
    </xf>
    <xf numFmtId="177" fontId="45" fillId="22" borderId="70" xfId="0" applyNumberFormat="1" applyFont="1" applyFill="1" applyBorder="1" applyAlignment="1" applyProtection="1">
      <alignment horizontal="center"/>
      <protection hidden="1"/>
    </xf>
    <xf numFmtId="177" fontId="0" fillId="22" borderId="70" xfId="0" applyNumberFormat="1" applyFont="1" applyFill="1" applyBorder="1" applyAlignment="1" applyProtection="1">
      <alignment horizontal="center"/>
      <protection hidden="1"/>
    </xf>
    <xf numFmtId="177" fontId="0" fillId="22" borderId="18" xfId="0" applyNumberFormat="1" applyFont="1" applyFill="1" applyBorder="1" applyAlignment="1" applyProtection="1">
      <alignment horizontal="center"/>
      <protection hidden="1"/>
    </xf>
    <xf numFmtId="177" fontId="0" fillId="22" borderId="69" xfId="0" applyNumberFormat="1" applyFont="1" applyFill="1" applyBorder="1" applyAlignment="1" applyProtection="1">
      <alignment horizontal="center"/>
      <protection hidden="1"/>
    </xf>
    <xf numFmtId="177" fontId="38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0" fontId="0" fillId="22" borderId="34" xfId="0" applyFont="1" applyFill="1" applyBorder="1" applyAlignment="1" applyProtection="1">
      <alignment horizontal="center"/>
      <protection hidden="1"/>
    </xf>
    <xf numFmtId="0" fontId="27" fillId="17" borderId="69" xfId="0" applyFont="1" applyFill="1" applyBorder="1" applyAlignment="1" applyProtection="1">
      <alignment/>
      <protection hidden="1"/>
    </xf>
    <xf numFmtId="0" fontId="27" fillId="17" borderId="18" xfId="0" applyFont="1" applyFill="1" applyBorder="1" applyAlignment="1" applyProtection="1">
      <alignment/>
      <protection hidden="1"/>
    </xf>
    <xf numFmtId="0" fontId="27" fillId="17" borderId="0" xfId="0" applyFont="1" applyFill="1" applyBorder="1" applyAlignment="1" applyProtection="1">
      <alignment horizontal="center"/>
      <protection hidden="1"/>
    </xf>
    <xf numFmtId="0" fontId="27" fillId="17" borderId="18" xfId="0" applyFont="1" applyFill="1" applyBorder="1" applyAlignment="1" applyProtection="1">
      <alignment horizontal="center"/>
      <protection hidden="1"/>
    </xf>
    <xf numFmtId="0" fontId="27" fillId="17" borderId="71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2" borderId="21" xfId="0" applyFont="1" applyFill="1" applyBorder="1" applyAlignment="1" applyProtection="1">
      <alignment horizontal="center"/>
      <protection hidden="1"/>
    </xf>
    <xf numFmtId="0" fontId="0" fillId="26" borderId="72" xfId="0" applyNumberFormat="1" applyFont="1" applyFill="1" applyBorder="1" applyAlignment="1" applyProtection="1">
      <alignment/>
      <protection locked="0"/>
    </xf>
    <xf numFmtId="2" fontId="0" fillId="26" borderId="70" xfId="0" applyNumberFormat="1" applyFont="1" applyFill="1" applyBorder="1" applyAlignment="1" applyProtection="1">
      <alignment/>
      <protection locked="0"/>
    </xf>
    <xf numFmtId="2" fontId="0" fillId="26" borderId="49" xfId="0" applyNumberFormat="1" applyFont="1" applyFill="1" applyBorder="1" applyAlignment="1" applyProtection="1">
      <alignment/>
      <protection locked="0"/>
    </xf>
    <xf numFmtId="0" fontId="0" fillId="17" borderId="49" xfId="0" applyNumberFormat="1" applyFont="1" applyFill="1" applyBorder="1" applyAlignment="1" applyProtection="1">
      <alignment/>
      <protection hidden="1"/>
    </xf>
    <xf numFmtId="0" fontId="0" fillId="22" borderId="73" xfId="0" applyNumberFormat="1" applyFont="1" applyFill="1" applyBorder="1" applyAlignment="1" applyProtection="1">
      <alignment/>
      <protection hidden="1"/>
    </xf>
    <xf numFmtId="0" fontId="20" fillId="20" borderId="21" xfId="0" applyNumberFormat="1" applyFont="1" applyFill="1" applyBorder="1" applyAlignment="1" applyProtection="1">
      <alignment/>
      <protection hidden="1"/>
    </xf>
    <xf numFmtId="1" fontId="47" fillId="17" borderId="21" xfId="0" applyNumberFormat="1" applyFont="1" applyFill="1" applyBorder="1" applyAlignment="1" applyProtection="1">
      <alignment horizontal="center"/>
      <protection hidden="1"/>
    </xf>
    <xf numFmtId="1" fontId="27" fillId="22" borderId="21" xfId="0" applyNumberFormat="1" applyFont="1" applyFill="1" applyBorder="1" applyAlignment="1" applyProtection="1">
      <alignment horizontal="center"/>
      <protection hidden="1"/>
    </xf>
    <xf numFmtId="0" fontId="0" fillId="20" borderId="74" xfId="0" applyFill="1" applyBorder="1" applyAlignment="1" applyProtection="1">
      <alignment/>
      <protection hidden="1"/>
    </xf>
    <xf numFmtId="0" fontId="0" fillId="20" borderId="75" xfId="0" applyFont="1" applyFill="1" applyBorder="1" applyAlignment="1" applyProtection="1">
      <alignment horizontal="left"/>
      <protection hidden="1"/>
    </xf>
    <xf numFmtId="0" fontId="45" fillId="20" borderId="76" xfId="0" applyFont="1" applyFill="1" applyBorder="1" applyAlignment="1" applyProtection="1">
      <alignment horizontal="right"/>
      <protection hidden="1"/>
    </xf>
    <xf numFmtId="0" fontId="0" fillId="17" borderId="42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5" fillId="17" borderId="0" xfId="0" applyFont="1" applyFill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6" borderId="21" xfId="0" applyFill="1" applyBorder="1" applyAlignment="1" applyProtection="1">
      <alignment horizontal="center"/>
      <protection locked="0"/>
    </xf>
    <xf numFmtId="0" fontId="32" fillId="26" borderId="21" xfId="0" applyFont="1" applyFill="1" applyBorder="1" applyAlignment="1" applyProtection="1">
      <alignment/>
      <protection locked="0"/>
    </xf>
    <xf numFmtId="0" fontId="0" fillId="26" borderId="53" xfId="0" applyNumberFormat="1" applyFont="1" applyFill="1" applyBorder="1" applyAlignment="1" applyProtection="1">
      <alignment/>
      <protection locked="0"/>
    </xf>
    <xf numFmtId="2" fontId="0" fillId="26" borderId="76" xfId="0" applyNumberFormat="1" applyFont="1" applyFill="1" applyBorder="1" applyAlignment="1" applyProtection="1">
      <alignment/>
      <protection locked="0"/>
    </xf>
    <xf numFmtId="2" fontId="0" fillId="26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0" fillId="20" borderId="74" xfId="0" applyFont="1" applyFill="1" applyBorder="1" applyAlignment="1" applyProtection="1">
      <alignment horizontal="left"/>
      <protection hidden="1"/>
    </xf>
    <xf numFmtId="0" fontId="0" fillId="17" borderId="43" xfId="0" applyFill="1" applyBorder="1" applyAlignment="1" applyProtection="1">
      <alignment/>
      <protection hidden="1"/>
    </xf>
    <xf numFmtId="1" fontId="46" fillId="0" borderId="0" xfId="0" applyNumberFormat="1" applyFont="1" applyAlignment="1" applyProtection="1">
      <alignment/>
      <protection hidden="1"/>
    </xf>
    <xf numFmtId="0" fontId="0" fillId="22" borderId="78" xfId="0" applyNumberFormat="1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0" fillId="20" borderId="74" xfId="0" applyFill="1" applyBorder="1" applyAlignment="1">
      <alignment/>
    </xf>
    <xf numFmtId="0" fontId="45" fillId="20" borderId="76" xfId="0" applyFont="1" applyFill="1" applyBorder="1" applyAlignment="1">
      <alignment horizontal="right"/>
    </xf>
    <xf numFmtId="0" fontId="20" fillId="20" borderId="77" xfId="0" applyNumberFormat="1" applyFont="1" applyFill="1" applyBorder="1" applyAlignment="1" applyProtection="1">
      <alignment/>
      <protection hidden="1"/>
    </xf>
    <xf numFmtId="1" fontId="47" fillId="17" borderId="79" xfId="0" applyNumberFormat="1" applyFont="1" applyFill="1" applyBorder="1" applyAlignment="1" applyProtection="1">
      <alignment horizontal="center"/>
      <protection hidden="1"/>
    </xf>
    <xf numFmtId="0" fontId="20" fillId="20" borderId="73" xfId="0" applyNumberFormat="1" applyFont="1" applyFill="1" applyBorder="1" applyAlignment="1" applyProtection="1">
      <alignment/>
      <protection hidden="1"/>
    </xf>
    <xf numFmtId="1" fontId="47" fillId="17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26" borderId="64" xfId="0" applyNumberFormat="1" applyFont="1" applyFill="1" applyBorder="1" applyAlignment="1" applyProtection="1">
      <alignment/>
      <protection locked="0"/>
    </xf>
    <xf numFmtId="2" fontId="0" fillId="26" borderId="80" xfId="0" applyNumberFormat="1" applyFont="1" applyFill="1" applyBorder="1" applyAlignment="1" applyProtection="1">
      <alignment/>
      <protection locked="0"/>
    </xf>
    <xf numFmtId="2" fontId="0" fillId="26" borderId="66" xfId="0" applyNumberFormat="1" applyFont="1" applyFill="1" applyBorder="1" applyAlignment="1" applyProtection="1">
      <alignment/>
      <protection locked="0"/>
    </xf>
    <xf numFmtId="0" fontId="0" fillId="17" borderId="21" xfId="0" applyNumberFormat="1" applyFont="1" applyFill="1" applyBorder="1" applyAlignment="1" applyProtection="1">
      <alignment/>
      <protection hidden="1"/>
    </xf>
    <xf numFmtId="0" fontId="0" fillId="17" borderId="66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20" fillId="20" borderId="10" xfId="0" applyNumberFormat="1" applyFont="1" applyFill="1" applyBorder="1" applyAlignment="1" applyProtection="1">
      <alignment/>
      <protection hidden="1"/>
    </xf>
    <xf numFmtId="1" fontId="47" fillId="17" borderId="11" xfId="0" applyNumberFormat="1" applyFont="1" applyFill="1" applyBorder="1" applyAlignment="1" applyProtection="1">
      <alignment horizontal="center"/>
      <protection hidden="1"/>
    </xf>
    <xf numFmtId="0" fontId="0" fillId="20" borderId="82" xfId="0" applyFill="1" applyBorder="1" applyAlignment="1" applyProtection="1">
      <alignment/>
      <protection hidden="1"/>
    </xf>
    <xf numFmtId="0" fontId="0" fillId="20" borderId="82" xfId="0" applyFill="1" applyBorder="1" applyAlignment="1">
      <alignment/>
    </xf>
    <xf numFmtId="0" fontId="45" fillId="20" borderId="80" xfId="0" applyFont="1" applyFill="1" applyBorder="1" applyAlignment="1" applyProtection="1">
      <alignment horizontal="right"/>
      <protection hidden="1"/>
    </xf>
    <xf numFmtId="0" fontId="45" fillId="20" borderId="80" xfId="0" applyFont="1" applyFill="1" applyBorder="1" applyAlignment="1">
      <alignment horizontal="right"/>
    </xf>
    <xf numFmtId="0" fontId="4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2" fillId="17" borderId="42" xfId="0" applyFont="1" applyFill="1" applyBorder="1" applyAlignment="1" applyProtection="1">
      <alignment/>
      <protection hidden="1"/>
    </xf>
    <xf numFmtId="0" fontId="0" fillId="17" borderId="18" xfId="0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0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" fontId="0" fillId="17" borderId="34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5" fillId="17" borderId="0" xfId="0" applyFont="1" applyFill="1" applyAlignment="1" applyProtection="1">
      <alignment/>
      <protection hidden="1"/>
    </xf>
    <xf numFmtId="2" fontId="25" fillId="17" borderId="22" xfId="0" applyNumberFormat="1" applyFont="1" applyFill="1" applyBorder="1" applyAlignment="1" applyProtection="1">
      <alignment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GUIVI_30-08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workbookViewId="0" topLeftCell="A1">
      <selection activeCell="J46" sqref="J46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2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2" customWidth="1"/>
    <col min="17" max="18" width="8.7109375" style="12" hidden="1" customWidth="1"/>
    <col min="19" max="19" width="7.00390625" style="12" hidden="1" customWidth="1"/>
    <col min="20" max="20" width="4.8515625" style="12" hidden="1" customWidth="1"/>
    <col min="21" max="21" width="17.421875" style="12" hidden="1" customWidth="1"/>
    <col min="22" max="22" width="11.28125" style="12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2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3" t="s">
        <v>2</v>
      </c>
      <c r="B2" s="14"/>
      <c r="C2" s="15" t="s">
        <v>3</v>
      </c>
      <c r="D2" s="8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7"/>
      <c r="Q2" s="8"/>
      <c r="R2" s="8"/>
      <c r="S2" s="8"/>
      <c r="T2" s="8"/>
      <c r="U2" s="8"/>
      <c r="V2" s="8"/>
      <c r="W2" s="22"/>
      <c r="X2" s="23"/>
    </row>
    <row r="3" spans="1:24" ht="13.5" thickBot="1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8"/>
      <c r="R3" s="8"/>
      <c r="S3" s="8"/>
      <c r="T3" s="8"/>
      <c r="U3" s="8"/>
      <c r="V3" s="8"/>
      <c r="W3" s="22"/>
      <c r="X3" s="23"/>
    </row>
    <row r="4" spans="1:24" ht="13.5" thickBot="1">
      <c r="A4" s="33">
        <v>41516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8"/>
      <c r="R4" s="8"/>
      <c r="S4" s="8"/>
      <c r="T4" s="8"/>
      <c r="U4" s="8"/>
      <c r="V4" s="8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12.357142857142858</v>
      </c>
      <c r="M5" s="53"/>
      <c r="N5" s="54" t="s">
        <v>16</v>
      </c>
      <c r="O5" s="55">
        <v>10.818181818181818</v>
      </c>
      <c r="P5" s="56"/>
      <c r="Q5" s="8"/>
      <c r="R5" s="8"/>
      <c r="S5" s="8"/>
      <c r="T5" s="8"/>
      <c r="U5" s="8"/>
      <c r="V5" s="8"/>
      <c r="W5" s="22"/>
      <c r="X5" s="42"/>
    </row>
    <row r="6" spans="1:24" ht="13.5" thickBot="1">
      <c r="A6" s="43" t="s">
        <v>17</v>
      </c>
      <c r="B6" s="57" t="s">
        <v>18</v>
      </c>
      <c r="C6" s="57" t="s">
        <v>19</v>
      </c>
      <c r="D6" s="46"/>
      <c r="E6" s="46"/>
      <c r="F6" s="47"/>
      <c r="G6" s="48"/>
      <c r="H6" s="46"/>
      <c r="I6" s="58" t="s">
        <v>20</v>
      </c>
      <c r="J6" s="59"/>
      <c r="K6" s="60"/>
      <c r="L6" s="61" t="s">
        <v>21</v>
      </c>
      <c r="M6" s="62"/>
      <c r="N6" s="63" t="s">
        <v>22</v>
      </c>
      <c r="O6" s="63"/>
      <c r="P6" s="64"/>
      <c r="Q6" s="8"/>
      <c r="R6" s="8"/>
      <c r="S6" s="8"/>
      <c r="T6" s="8"/>
      <c r="U6" s="8"/>
      <c r="V6" s="8"/>
      <c r="W6" s="22"/>
      <c r="X6" s="23"/>
    </row>
    <row r="7" spans="1:24" ht="12.75">
      <c r="A7" s="65" t="s">
        <v>23</v>
      </c>
      <c r="B7" s="66">
        <v>70</v>
      </c>
      <c r="C7" s="67">
        <v>30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24</v>
      </c>
      <c r="O7" s="77" t="s">
        <v>25</v>
      </c>
      <c r="P7" s="78"/>
      <c r="Q7" s="8"/>
      <c r="R7" s="8"/>
      <c r="S7" s="8"/>
      <c r="T7" s="8"/>
      <c r="U7" s="8"/>
      <c r="V7" s="8"/>
      <c r="W7" s="22"/>
      <c r="X7" s="23"/>
    </row>
    <row r="8" spans="1:24" ht="12.75">
      <c r="A8" s="79" t="s">
        <v>26</v>
      </c>
      <c r="B8" s="80"/>
      <c r="C8" s="80"/>
      <c r="D8" s="68"/>
      <c r="E8" s="68"/>
      <c r="F8" s="81" t="s">
        <v>27</v>
      </c>
      <c r="G8" s="82"/>
      <c r="H8" s="83"/>
      <c r="I8" s="71"/>
      <c r="J8" s="72"/>
      <c r="K8" s="73"/>
      <c r="L8" s="74"/>
      <c r="M8" s="84" t="s">
        <v>28</v>
      </c>
      <c r="N8" s="85">
        <f>IF(ISERROR(AVERAGE(I23:I82)),"     -",AVERAGE(I23:I82))</f>
        <v>11.125</v>
      </c>
      <c r="O8" s="85">
        <f>IF(ISERROR(AVERAGE(J23:J82)),"      -",AVERAGE(J23:J82))</f>
        <v>1.5625</v>
      </c>
      <c r="P8" s="86"/>
      <c r="Q8" s="8"/>
      <c r="R8" s="8"/>
      <c r="S8" s="8"/>
      <c r="T8" s="8"/>
      <c r="U8" s="8"/>
      <c r="V8" s="8"/>
      <c r="W8" s="22"/>
      <c r="X8" s="23"/>
    </row>
    <row r="9" spans="1:24" ht="13.5" thickBot="1">
      <c r="A9" s="43" t="s">
        <v>29</v>
      </c>
      <c r="B9" s="87">
        <v>90.05</v>
      </c>
      <c r="C9" s="88">
        <v>92</v>
      </c>
      <c r="D9" s="89"/>
      <c r="E9" s="89"/>
      <c r="F9" s="90">
        <f>($B9*$B$7+$C9*$C$7)/100</f>
        <v>90.635</v>
      </c>
      <c r="G9" s="91"/>
      <c r="H9" s="92"/>
      <c r="I9" s="93"/>
      <c r="J9" s="94"/>
      <c r="K9" s="73"/>
      <c r="L9" s="95"/>
      <c r="M9" s="84" t="s">
        <v>30</v>
      </c>
      <c r="N9" s="85">
        <f>IF(ISERROR(STDEVP(I23:I82)),"     -",STDEVP(I23:I82))</f>
        <v>3.4977671449083054</v>
      </c>
      <c r="O9" s="85">
        <f>IF(ISERROR(STDEVP(J23:J82)),"      -",STDEVP(J23:J82))</f>
        <v>0.6091746465505602</v>
      </c>
      <c r="P9" s="86"/>
      <c r="Q9" s="8"/>
      <c r="R9" s="8"/>
      <c r="S9" s="8"/>
      <c r="T9" s="8"/>
      <c r="U9" s="8"/>
      <c r="V9" s="8"/>
      <c r="W9" s="96"/>
      <c r="X9" s="97"/>
    </row>
    <row r="10" spans="1:22" ht="13.5" thickTop="1">
      <c r="A10" s="98" t="s">
        <v>31</v>
      </c>
      <c r="B10" s="99" t="s">
        <v>32</v>
      </c>
      <c r="C10" s="100" t="s">
        <v>32</v>
      </c>
      <c r="D10" s="101"/>
      <c r="E10" s="101"/>
      <c r="F10" s="90"/>
      <c r="G10" s="91"/>
      <c r="H10" s="102"/>
      <c r="I10" s="103"/>
      <c r="J10" s="104" t="s">
        <v>33</v>
      </c>
      <c r="K10" s="104"/>
      <c r="L10" s="105"/>
      <c r="M10" s="106" t="s">
        <v>34</v>
      </c>
      <c r="N10" s="107">
        <f>MIN(I23:I82)</f>
        <v>4</v>
      </c>
      <c r="O10" s="107">
        <f>MIN(J23:J82)</f>
        <v>1</v>
      </c>
      <c r="P10" s="108"/>
      <c r="Q10" s="8"/>
      <c r="R10" s="8"/>
      <c r="S10" s="8"/>
      <c r="T10" s="8"/>
      <c r="U10" s="8"/>
      <c r="V10" s="8"/>
    </row>
    <row r="11" spans="1:22" ht="12.75">
      <c r="A11" s="109" t="s">
        <v>35</v>
      </c>
      <c r="B11" s="110"/>
      <c r="C11" s="111"/>
      <c r="D11" s="112"/>
      <c r="E11" s="112"/>
      <c r="F11" s="113">
        <f>($B11*$B$7+$C11*$C$7)/100</f>
        <v>0</v>
      </c>
      <c r="G11" s="114"/>
      <c r="H11" s="68"/>
      <c r="I11" s="115" t="s">
        <v>36</v>
      </c>
      <c r="J11" s="116"/>
      <c r="K11" s="117">
        <f>COUNTIF($G$23:$G$82,"=HET")</f>
        <v>0</v>
      </c>
      <c r="L11" s="118"/>
      <c r="M11" s="106" t="s">
        <v>37</v>
      </c>
      <c r="N11" s="107">
        <f>MAX(I23:I82)</f>
        <v>18</v>
      </c>
      <c r="O11" s="107">
        <f>MAX(J23:J82)</f>
        <v>3</v>
      </c>
      <c r="P11" s="108"/>
      <c r="Q11" s="8"/>
      <c r="R11" s="8"/>
      <c r="S11" s="8"/>
      <c r="T11" s="8"/>
      <c r="U11" s="8"/>
      <c r="V11" s="8"/>
    </row>
    <row r="12" spans="1:22" ht="12.75">
      <c r="A12" s="119" t="s">
        <v>38</v>
      </c>
      <c r="B12" s="120">
        <v>90</v>
      </c>
      <c r="C12" s="121">
        <v>92</v>
      </c>
      <c r="D12" s="112"/>
      <c r="E12" s="112"/>
      <c r="F12" s="113">
        <f>($B12*$B$7+$C12*$C$7)/100</f>
        <v>90.6</v>
      </c>
      <c r="G12" s="122"/>
      <c r="H12" s="68"/>
      <c r="I12" s="123" t="s">
        <v>39</v>
      </c>
      <c r="J12" s="124"/>
      <c r="K12" s="117">
        <f>COUNTIF($G$23:$G$82,"=ALG")</f>
        <v>11</v>
      </c>
      <c r="L12" s="125"/>
      <c r="M12" s="126"/>
      <c r="N12" s="127" t="s">
        <v>33</v>
      </c>
      <c r="O12" s="128"/>
      <c r="P12" s="129"/>
      <c r="Q12" s="8"/>
      <c r="R12" s="8"/>
      <c r="S12" s="8"/>
      <c r="T12" s="8"/>
      <c r="U12" s="8"/>
      <c r="V12" s="8"/>
    </row>
    <row r="13" spans="1:22" ht="12.75">
      <c r="A13" s="119" t="s">
        <v>40</v>
      </c>
      <c r="B13" s="120">
        <v>0.05</v>
      </c>
      <c r="C13" s="121"/>
      <c r="D13" s="112"/>
      <c r="E13" s="112"/>
      <c r="F13" s="113">
        <f>($B13*$B$7+$C13*$C$7)/100</f>
        <v>0.035</v>
      </c>
      <c r="G13" s="122"/>
      <c r="H13" s="68"/>
      <c r="I13" s="130" t="s">
        <v>41</v>
      </c>
      <c r="J13" s="124"/>
      <c r="K13" s="117">
        <f>COUNTIF($G$23:$G$82,"=BRm")+COUNTIF($G$23:$G$82,"=BRh")</f>
        <v>5</v>
      </c>
      <c r="L13" s="118"/>
      <c r="M13" s="131" t="s">
        <v>42</v>
      </c>
      <c r="N13" s="132">
        <f>COUNTIF(F23:F82,"&gt;0")</f>
        <v>16</v>
      </c>
      <c r="O13" s="133"/>
      <c r="P13" s="134"/>
      <c r="Q13" s="8"/>
      <c r="R13" s="8"/>
      <c r="S13" s="8"/>
      <c r="T13" s="8"/>
      <c r="U13" s="8"/>
      <c r="V13" s="8"/>
    </row>
    <row r="14" spans="1:22" ht="12.75">
      <c r="A14" s="119" t="s">
        <v>43</v>
      </c>
      <c r="B14" s="120"/>
      <c r="C14" s="121"/>
      <c r="D14" s="112"/>
      <c r="E14" s="112"/>
      <c r="F14" s="113">
        <f>($B14*$B$7+$C14*$C$7)/100</f>
        <v>0</v>
      </c>
      <c r="G14" s="122"/>
      <c r="H14" s="68"/>
      <c r="I14" s="130" t="s">
        <v>44</v>
      </c>
      <c r="J14" s="124"/>
      <c r="K14" s="117">
        <f>COUNTIF($G$23:$G$82,"=PTE")+COUNTIF($G$23:$G$82,"=LIC")</f>
        <v>0</v>
      </c>
      <c r="L14" s="118"/>
      <c r="M14" s="135" t="s">
        <v>45</v>
      </c>
      <c r="N14" s="136">
        <f>COUNTIF($I$23:$I$82,"&gt;-1")</f>
        <v>16</v>
      </c>
      <c r="O14" s="137"/>
      <c r="P14" s="134"/>
      <c r="Q14" s="8"/>
      <c r="R14" s="8"/>
      <c r="S14" s="8"/>
      <c r="T14" s="8"/>
      <c r="U14" s="8"/>
      <c r="V14" s="8"/>
    </row>
    <row r="15" spans="1:22" ht="12.75">
      <c r="A15" s="138" t="s">
        <v>46</v>
      </c>
      <c r="B15" s="139"/>
      <c r="C15" s="140"/>
      <c r="D15" s="112"/>
      <c r="E15" s="112"/>
      <c r="F15" s="113">
        <f>($B15*$B$7+$C15*$C$7)/100</f>
        <v>0</v>
      </c>
      <c r="G15" s="122"/>
      <c r="H15" s="68"/>
      <c r="I15" s="130" t="s">
        <v>47</v>
      </c>
      <c r="J15" s="124"/>
      <c r="K15" s="117">
        <f>(COUNTIF($G$23:$G$82,"=PHy"))+(COUNTIF($G$23:$G$82,"=PHe"))+(COUNTIF($G$23:$G$82,"=PHg"))+(COUNTIF($G$23:$G$82,"=PHx"))</f>
        <v>0</v>
      </c>
      <c r="L15" s="118"/>
      <c r="M15" s="141" t="s">
        <v>48</v>
      </c>
      <c r="N15" s="142">
        <f>COUNTIF(J23:J82,"=1")</f>
        <v>8</v>
      </c>
      <c r="O15" s="143"/>
      <c r="P15" s="134"/>
      <c r="Q15" s="8"/>
      <c r="R15" s="8"/>
      <c r="S15" s="8"/>
      <c r="T15" s="8"/>
      <c r="U15" s="8"/>
      <c r="V15" s="8"/>
    </row>
    <row r="16" spans="1:22" ht="12.75">
      <c r="A16" s="109" t="s">
        <v>49</v>
      </c>
      <c r="B16" s="110"/>
      <c r="C16" s="111"/>
      <c r="D16" s="144"/>
      <c r="E16" s="144"/>
      <c r="F16" s="145"/>
      <c r="G16" s="145">
        <f>($B16*$B$7+$C16*$C$7)/100</f>
        <v>0</v>
      </c>
      <c r="H16" s="68"/>
      <c r="I16" s="146"/>
      <c r="J16" s="147"/>
      <c r="K16" s="147"/>
      <c r="L16" s="118"/>
      <c r="M16" s="141" t="s">
        <v>50</v>
      </c>
      <c r="N16" s="142">
        <f>COUNTIF(J23:J82,"=2")</f>
        <v>7</v>
      </c>
      <c r="O16" s="143"/>
      <c r="P16" s="134"/>
      <c r="Q16" s="8"/>
      <c r="R16" s="8"/>
      <c r="S16" s="8"/>
      <c r="T16" s="8"/>
      <c r="U16" s="8"/>
      <c r="V16" s="8"/>
    </row>
    <row r="17" spans="1:22" ht="12.75">
      <c r="A17" s="119" t="s">
        <v>51</v>
      </c>
      <c r="B17" s="120">
        <v>90.05</v>
      </c>
      <c r="C17" s="121">
        <v>92</v>
      </c>
      <c r="D17" s="112"/>
      <c r="E17" s="112"/>
      <c r="F17" s="148"/>
      <c r="G17" s="113">
        <f>($B17*$B$7+$C17*$C$7)/100</f>
        <v>90.635</v>
      </c>
      <c r="H17" s="68"/>
      <c r="I17" s="130"/>
      <c r="J17" s="124"/>
      <c r="K17" s="147"/>
      <c r="L17" s="118"/>
      <c r="M17" s="141" t="s">
        <v>52</v>
      </c>
      <c r="N17" s="142">
        <f>COUNTIF(J23:J82,"=3")</f>
        <v>1</v>
      </c>
      <c r="O17" s="143"/>
      <c r="P17" s="134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/>
      <c r="D18" s="112"/>
      <c r="E18" s="152" t="s">
        <v>54</v>
      </c>
      <c r="F18" s="148"/>
      <c r="G18" s="113">
        <f>($B18*$B$7+$C18*$C$7)/100</f>
        <v>0</v>
      </c>
      <c r="H18" s="68"/>
      <c r="I18" s="130"/>
      <c r="J18" s="124"/>
      <c r="K18" s="147"/>
      <c r="L18" s="118"/>
      <c r="M18" s="153"/>
      <c r="N18" s="153"/>
      <c r="O18" s="143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90.63499999999999</v>
      </c>
      <c r="G19" s="161">
        <f>SUM(G16:G18)</f>
        <v>90.635</v>
      </c>
      <c r="H19" s="162"/>
      <c r="I19" s="163"/>
      <c r="J19" s="164"/>
      <c r="K19" s="165"/>
      <c r="L19" s="166"/>
      <c r="M19" s="167"/>
      <c r="N19" s="60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102</v>
      </c>
      <c r="B20" s="170">
        <f>SUM(B23:B82)</f>
        <v>90.78000000000003</v>
      </c>
      <c r="C20" s="171">
        <f>SUM(C23:C82)</f>
        <v>92.7</v>
      </c>
      <c r="D20" s="172"/>
      <c r="E20" s="173" t="s">
        <v>54</v>
      </c>
      <c r="F20" s="174">
        <f>($B20*$B$7+$C20*$C$7)/100</f>
        <v>91.35600000000002</v>
      </c>
      <c r="G20" s="175"/>
      <c r="H20" s="176"/>
      <c r="I20" s="177"/>
      <c r="J20" s="177"/>
      <c r="K20" s="178"/>
      <c r="L20" s="47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57</v>
      </c>
      <c r="B21" s="184">
        <f>B20*B7/100</f>
        <v>63.54600000000002</v>
      </c>
      <c r="C21" s="184">
        <f>C20*C7/100</f>
        <v>27.81</v>
      </c>
      <c r="D21" s="112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91.35600000000002</v>
      </c>
      <c r="G21" s="187"/>
      <c r="H21" s="112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59</v>
      </c>
      <c r="B22" s="195" t="s">
        <v>60</v>
      </c>
      <c r="C22" s="196" t="s">
        <v>60</v>
      </c>
      <c r="D22" s="144"/>
      <c r="E22" s="144"/>
      <c r="F22" s="197" t="s">
        <v>61</v>
      </c>
      <c r="G22" s="198" t="s">
        <v>62</v>
      </c>
      <c r="H22" s="144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0.11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54">($B23*$B$7+$C23*$C$7)/100</f>
        <v>0.077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54">IF(ISTEXT(H23),"",(B23*$B$7/100)+(C23*$C$7/100))</f>
        <v>0.077</v>
      </c>
      <c r="R23" s="222">
        <f aca="true" t="shared" si="2" ref="R23:R54">IF(OR(ISTEXT(H23),Q23=0),"",IF(Q23&lt;0.1,1,IF(Q23&lt;1,2,IF(Q23&lt;10,3,IF(Q23&lt;50,4,IF(Q23&gt;=50,5,""))))))</f>
        <v>1</v>
      </c>
      <c r="S23" s="222">
        <f aca="true" t="shared" si="3" ref="S23:S54">IF(ISERROR(R23*I23),0,R23*I23)</f>
        <v>6</v>
      </c>
      <c r="T23" s="222">
        <f aca="true" t="shared" si="4" ref="T23:T54">IF(ISERROR(R23*I23*J23),0,R23*I23*J23)</f>
        <v>6</v>
      </c>
      <c r="U23" s="222">
        <f aca="true" t="shared" si="5" ref="U23:U54">IF(ISERROR(R23*J23),0,R23*J23)</f>
        <v>1</v>
      </c>
      <c r="V23" s="223">
        <f aca="true" t="shared" si="6" ref="V23:V54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54">IF(A23="","",1)</f>
        <v>1</v>
      </c>
    </row>
    <row r="24" spans="1:54" ht="12.75">
      <c r="A24" s="228" t="s">
        <v>79</v>
      </c>
      <c r="B24" s="229">
        <v>9</v>
      </c>
      <c r="C24" s="230">
        <v>4.5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31" t="e">
        <f>IF(D24="",,VLOOKUP(D24,D$22:D23,1,0))</f>
        <v>#N/A</v>
      </c>
      <c r="F24" s="232">
        <f t="shared" si="0"/>
        <v>7.65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21">
        <f t="shared" si="1"/>
        <v>7.65</v>
      </c>
      <c r="R24" s="222">
        <f t="shared" si="2"/>
        <v>3</v>
      </c>
      <c r="S24" s="222">
        <f t="shared" si="3"/>
        <v>36</v>
      </c>
      <c r="T24" s="222">
        <f t="shared" si="4"/>
        <v>72</v>
      </c>
      <c r="U24" s="234">
        <f t="shared" si="5"/>
        <v>6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26"/>
      <c r="AB24" s="227"/>
      <c r="AC24" s="227"/>
      <c r="BB24" s="8">
        <f t="shared" si="7"/>
        <v>1</v>
      </c>
    </row>
    <row r="25" spans="1:54" ht="12.75">
      <c r="A25" s="228" t="s">
        <v>16</v>
      </c>
      <c r="B25" s="229">
        <v>27.5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Draparnaldia sp.</v>
      </c>
      <c r="E25" s="231" t="e">
        <f>IF(D25="",,VLOOKUP(D25,D$22:D24,1,0))</f>
        <v>#N/A</v>
      </c>
      <c r="F25" s="232">
        <f t="shared" si="0"/>
        <v>19.25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18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3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Draparnaldia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1118</v>
      </c>
      <c r="Q25" s="221">
        <f t="shared" si="1"/>
        <v>19.25</v>
      </c>
      <c r="R25" s="222">
        <f t="shared" si="2"/>
        <v>4</v>
      </c>
      <c r="S25" s="222">
        <f t="shared" si="3"/>
        <v>72</v>
      </c>
      <c r="T25" s="222">
        <f t="shared" si="4"/>
        <v>216</v>
      </c>
      <c r="U25" s="234">
        <f t="shared" si="5"/>
        <v>12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DRASPX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27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80</v>
      </c>
      <c r="B26" s="229">
        <v>9</v>
      </c>
      <c r="C26" s="230">
        <v>13.5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Melosira sp.</v>
      </c>
      <c r="E26" s="231" t="e">
        <f>IF(D26="",,VLOOKUP(D26,D$22:D25,1,0))</f>
        <v>#N/A</v>
      </c>
      <c r="F26" s="232">
        <f t="shared" si="0"/>
        <v>10.35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Melosira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8714</v>
      </c>
      <c r="Q26" s="221">
        <f t="shared" si="1"/>
        <v>10.35</v>
      </c>
      <c r="R26" s="222">
        <f t="shared" si="2"/>
        <v>4</v>
      </c>
      <c r="S26" s="222">
        <f t="shared" si="3"/>
        <v>40</v>
      </c>
      <c r="T26" s="222">
        <f t="shared" si="4"/>
        <v>40</v>
      </c>
      <c r="U26" s="234">
        <f t="shared" si="5"/>
        <v>4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MELSPX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36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81</v>
      </c>
      <c r="B27" s="229">
        <v>0.01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Microspora sp.</v>
      </c>
      <c r="E27" s="231" t="e">
        <f>IF(D27="",,VLOOKUP(D27,D$22:D26,1,0))</f>
        <v>#N/A</v>
      </c>
      <c r="F27" s="232">
        <f t="shared" si="0"/>
        <v>0.007000000000000001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Microspora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1132</v>
      </c>
      <c r="Q27" s="221">
        <f t="shared" si="1"/>
        <v>0.007000000000000001</v>
      </c>
      <c r="R27" s="222">
        <f t="shared" si="2"/>
        <v>1</v>
      </c>
      <c r="S27" s="222">
        <f t="shared" si="3"/>
        <v>12</v>
      </c>
      <c r="T27" s="222">
        <f t="shared" si="4"/>
        <v>24</v>
      </c>
      <c r="U27" s="234">
        <f t="shared" si="5"/>
        <v>2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MICSPX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41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82</v>
      </c>
      <c r="B28" s="229">
        <v>0</v>
      </c>
      <c r="C28" s="230">
        <v>5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Oedogonium sp.</v>
      </c>
      <c r="E28" s="231" t="e">
        <f>IF(D28="",,VLOOKUP(D28,D$22:D27,1,0))</f>
        <v>#N/A</v>
      </c>
      <c r="F28" s="232">
        <f t="shared" si="0"/>
        <v>1.5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6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Oedogonium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1134</v>
      </c>
      <c r="Q28" s="221">
        <f t="shared" si="1"/>
        <v>1.5</v>
      </c>
      <c r="R28" s="222">
        <f t="shared" si="2"/>
        <v>3</v>
      </c>
      <c r="S28" s="222">
        <f t="shared" si="3"/>
        <v>18</v>
      </c>
      <c r="T28" s="222">
        <f t="shared" si="4"/>
        <v>36</v>
      </c>
      <c r="U28" s="234">
        <f t="shared" si="5"/>
        <v>6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OEDSPX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55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83</v>
      </c>
      <c r="B29" s="229">
        <v>0</v>
      </c>
      <c r="C29" s="230">
        <v>6.5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Spirogyra sp.</v>
      </c>
      <c r="E29" s="231" t="e">
        <f>IF(D29="",,VLOOKUP(D29,D$22:D28,1,0))</f>
        <v>#N/A</v>
      </c>
      <c r="F29" s="232">
        <f t="shared" si="0"/>
        <v>1.95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Spirogyra sp.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1147</v>
      </c>
      <c r="Q29" s="221">
        <f t="shared" si="1"/>
        <v>1.95</v>
      </c>
      <c r="R29" s="222">
        <f t="shared" si="2"/>
        <v>3</v>
      </c>
      <c r="S29" s="222">
        <f t="shared" si="3"/>
        <v>30</v>
      </c>
      <c r="T29" s="222">
        <f t="shared" si="4"/>
        <v>30</v>
      </c>
      <c r="U29" s="234">
        <f t="shared" si="5"/>
        <v>3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SPISPX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69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84</v>
      </c>
      <c r="B30" s="229">
        <v>18</v>
      </c>
      <c r="C30" s="230">
        <v>0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Stigeoclonium sp.</v>
      </c>
      <c r="E30" s="231" t="e">
        <f>IF(D30="",,VLOOKUP(D30,D$22:D29,1,0))</f>
        <v>#N/A</v>
      </c>
      <c r="F30" s="232">
        <f t="shared" si="0"/>
        <v>12.6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ALG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2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13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Stigeoclonium sp.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1119</v>
      </c>
      <c r="Q30" s="221">
        <f t="shared" si="1"/>
        <v>12.6</v>
      </c>
      <c r="R30" s="222">
        <f t="shared" si="2"/>
        <v>4</v>
      </c>
      <c r="S30" s="222">
        <f t="shared" si="3"/>
        <v>52</v>
      </c>
      <c r="T30" s="222">
        <f t="shared" si="4"/>
        <v>104</v>
      </c>
      <c r="U30" s="234">
        <f t="shared" si="5"/>
        <v>8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STISPX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71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85</v>
      </c>
      <c r="B31" s="229">
        <v>0.1</v>
      </c>
      <c r="C31" s="230">
        <v>0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Tetraspora sp.</v>
      </c>
      <c r="E31" s="231" t="e">
        <f>IF(D31="",,VLOOKUP(D31,D$22:D30,1,0))</f>
        <v>#N/A</v>
      </c>
      <c r="F31" s="232">
        <f t="shared" si="0"/>
        <v>0.07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ALG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2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12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Tetraspora sp.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1138</v>
      </c>
      <c r="Q31" s="221">
        <f t="shared" si="1"/>
        <v>0.07</v>
      </c>
      <c r="R31" s="222">
        <f t="shared" si="2"/>
        <v>1</v>
      </c>
      <c r="S31" s="222">
        <f t="shared" si="3"/>
        <v>12</v>
      </c>
      <c r="T31" s="222">
        <f t="shared" si="4"/>
        <v>12</v>
      </c>
      <c r="U31" s="234">
        <f t="shared" si="5"/>
        <v>1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TETSPX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73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86</v>
      </c>
      <c r="B32" s="229">
        <v>27</v>
      </c>
      <c r="C32" s="230">
        <v>63.2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Ulothrix sp.</v>
      </c>
      <c r="E32" s="231" t="e">
        <f>IF(D32="",,VLOOKUP(D32,D$22:D31,1,0))</f>
        <v>#N/A</v>
      </c>
      <c r="F32" s="232">
        <f t="shared" si="0"/>
        <v>37.86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ALG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2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10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Ulothrix sp.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1142</v>
      </c>
      <c r="Q32" s="221">
        <f t="shared" si="1"/>
        <v>37.86</v>
      </c>
      <c r="R32" s="222">
        <f t="shared" si="2"/>
        <v>4</v>
      </c>
      <c r="S32" s="222">
        <f t="shared" si="3"/>
        <v>40</v>
      </c>
      <c r="T32" s="222">
        <f t="shared" si="4"/>
        <v>40</v>
      </c>
      <c r="U32" s="234">
        <f t="shared" si="5"/>
        <v>4</v>
      </c>
      <c r="V32" s="223">
        <f t="shared" si="6"/>
      </c>
      <c r="W32" s="224" t="s">
        <v>55</v>
      </c>
      <c r="Y32" s="225" t="str">
        <f>IF(A32="new.cod","NEWCOD",IF(AND((Z32=""),ISTEXT(A32)),A32,IF(Z32="","",INDEX('[1]liste reference'!$A$8:$A$904,Z32))))</f>
        <v>ULOSPX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81</v>
      </c>
      <c r="AA32" s="226"/>
      <c r="AB32" s="227"/>
      <c r="AC32" s="227"/>
      <c r="BB32" s="8">
        <f t="shared" si="7"/>
        <v>1</v>
      </c>
    </row>
    <row r="33" spans="1:54" ht="12.75">
      <c r="A33" s="228" t="s">
        <v>87</v>
      </c>
      <c r="B33" s="229">
        <v>0.01</v>
      </c>
      <c r="C33" s="230">
        <v>0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Vaucheria sp.</v>
      </c>
      <c r="E33" s="231" t="e">
        <f>IF(D33="",,VLOOKUP(D33,D$22:D32,1,0))</f>
        <v>#N/A</v>
      </c>
      <c r="F33" s="232">
        <f t="shared" si="0"/>
        <v>0.007000000000000001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ALG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2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4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Vaucheria sp.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6193</v>
      </c>
      <c r="Q33" s="221">
        <f t="shared" si="1"/>
        <v>0.007000000000000001</v>
      </c>
      <c r="R33" s="222">
        <f t="shared" si="2"/>
        <v>1</v>
      </c>
      <c r="S33" s="222">
        <f t="shared" si="3"/>
        <v>4</v>
      </c>
      <c r="T33" s="222">
        <f t="shared" si="4"/>
        <v>4</v>
      </c>
      <c r="U33" s="234">
        <f t="shared" si="5"/>
        <v>1</v>
      </c>
      <c r="V33" s="223">
        <f t="shared" si="6"/>
      </c>
      <c r="W33" s="224" t="s">
        <v>55</v>
      </c>
      <c r="Y33" s="225" t="str">
        <f>IF(A33="new.cod","NEWCOD",IF(AND((Z33=""),ISTEXT(A33)),A33,IF(Z33="","",INDEX('[1]liste reference'!$A$8:$A$904,Z33))))</f>
        <v>VAUSPX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82</v>
      </c>
      <c r="AA33" s="226"/>
      <c r="AB33" s="227"/>
      <c r="AC33" s="227"/>
      <c r="BB33" s="8">
        <f t="shared" si="7"/>
        <v>1</v>
      </c>
    </row>
    <row r="34" spans="1:54" ht="12.75">
      <c r="A34" s="228" t="s">
        <v>88</v>
      </c>
      <c r="B34" s="229">
        <v>0.01</v>
      </c>
      <c r="C34" s="230">
        <v>0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Cinclidotus aquaticus</v>
      </c>
      <c r="E34" s="231" t="e">
        <f>IF(D34="",,VLOOKUP(D34,D$22:D33,1,0))</f>
        <v>#N/A</v>
      </c>
      <c r="F34" s="236">
        <f t="shared" si="0"/>
        <v>0.007000000000000001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BRm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5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15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2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Cinclidotus aquaticus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1318</v>
      </c>
      <c r="Q34" s="221">
        <f t="shared" si="1"/>
        <v>0.007000000000000001</v>
      </c>
      <c r="R34" s="222">
        <f t="shared" si="2"/>
        <v>1</v>
      </c>
      <c r="S34" s="222">
        <f t="shared" si="3"/>
        <v>15</v>
      </c>
      <c r="T34" s="222">
        <f t="shared" si="4"/>
        <v>30</v>
      </c>
      <c r="U34" s="234">
        <f t="shared" si="5"/>
        <v>2</v>
      </c>
      <c r="V34" s="223">
        <f t="shared" si="6"/>
      </c>
      <c r="W34" s="224" t="s">
        <v>55</v>
      </c>
      <c r="Y34" s="225" t="str">
        <f>IF(A34="new.cod","NEWCOD",IF(AND((Z34=""),ISTEXT(A34)),A34,IF(Z34="","",INDEX('[1]liste reference'!$A$8:$A$904,Z34))))</f>
        <v>CINAQU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170</v>
      </c>
      <c r="AA34" s="226"/>
      <c r="AB34" s="227"/>
      <c r="AC34" s="227"/>
      <c r="BB34" s="8">
        <f t="shared" si="7"/>
        <v>1</v>
      </c>
    </row>
    <row r="35" spans="1:54" ht="12.75">
      <c r="A35" s="228" t="s">
        <v>89</v>
      </c>
      <c r="B35" s="229">
        <v>0.01</v>
      </c>
      <c r="C35" s="230">
        <v>0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Cinclidotus riparius</v>
      </c>
      <c r="E35" s="231" t="e">
        <f>IF(D35="",,VLOOKUP(D35,D$22:D34,1,0))</f>
        <v>#N/A</v>
      </c>
      <c r="F35" s="236">
        <f t="shared" si="0"/>
        <v>0.007000000000000001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BRm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5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13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Cinclidotus riparius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1321</v>
      </c>
      <c r="Q35" s="221">
        <f t="shared" si="1"/>
        <v>0.007000000000000001</v>
      </c>
      <c r="R35" s="222">
        <f t="shared" si="2"/>
        <v>1</v>
      </c>
      <c r="S35" s="222">
        <f t="shared" si="3"/>
        <v>13</v>
      </c>
      <c r="T35" s="222">
        <f t="shared" si="4"/>
        <v>26</v>
      </c>
      <c r="U35" s="234">
        <f t="shared" si="5"/>
        <v>2</v>
      </c>
      <c r="V35" s="223">
        <f t="shared" si="6"/>
      </c>
      <c r="W35" s="224" t="s">
        <v>55</v>
      </c>
      <c r="Y35" s="225" t="str">
        <f>IF(A35="new.cod","NEWCOD",IF(AND((Z35=""),ISTEXT(A35)),A35,IF(Z35="","",INDEX('[1]liste reference'!$A$8:$A$904,Z35))))</f>
        <v>CINRIP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174</v>
      </c>
      <c r="AA35" s="226"/>
      <c r="AB35" s="227"/>
      <c r="AC35" s="227"/>
      <c r="BB35" s="8">
        <f t="shared" si="7"/>
        <v>1</v>
      </c>
    </row>
    <row r="36" spans="1:54" ht="12.75">
      <c r="A36" s="228" t="s">
        <v>90</v>
      </c>
      <c r="B36" s="229">
        <v>0.01</v>
      </c>
      <c r="C36" s="230">
        <v>0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Cratoneuron commutatum</v>
      </c>
      <c r="E36" s="231" t="e">
        <f>IF(D36="",,VLOOKUP(D36,D$22:D35,1,0))</f>
        <v>#N/A</v>
      </c>
      <c r="F36" s="236">
        <f t="shared" si="0"/>
        <v>0.007000000000000001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BRm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5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15</v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2</v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Cratoneuron commutatum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1232</v>
      </c>
      <c r="Q36" s="221">
        <f t="shared" si="1"/>
        <v>0.007000000000000001</v>
      </c>
      <c r="R36" s="222">
        <f t="shared" si="2"/>
        <v>1</v>
      </c>
      <c r="S36" s="222">
        <f t="shared" si="3"/>
        <v>15</v>
      </c>
      <c r="T36" s="222">
        <f t="shared" si="4"/>
        <v>30</v>
      </c>
      <c r="U36" s="234">
        <f t="shared" si="5"/>
        <v>2</v>
      </c>
      <c r="V36" s="223">
        <f t="shared" si="6"/>
      </c>
      <c r="W36" s="224" t="s">
        <v>55</v>
      </c>
      <c r="Y36" s="225" t="str">
        <f>IF(A36="new.cod","NEWCOD",IF(AND((Z36=""),ISTEXT(A36)),A36,IF(Z36="","",INDEX('[1]liste reference'!$A$8:$A$904,Z36))))</f>
        <v>CRACOM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177</v>
      </c>
      <c r="AA36" s="226"/>
      <c r="AB36" s="227"/>
      <c r="AC36" s="227"/>
      <c r="BB36" s="8">
        <f t="shared" si="7"/>
        <v>1</v>
      </c>
    </row>
    <row r="37" spans="1:54" ht="12.75">
      <c r="A37" s="228" t="s">
        <v>91</v>
      </c>
      <c r="B37" s="229">
        <v>0.01</v>
      </c>
      <c r="C37" s="230">
        <v>0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Fontinalis antipyretica</v>
      </c>
      <c r="E37" s="231" t="e">
        <f>IF(D37="",,VLOOKUP(D37,D$22:D36,1,0))</f>
        <v>#N/A</v>
      </c>
      <c r="F37" s="236">
        <f t="shared" si="0"/>
        <v>0.007000000000000001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BRm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5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10</v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1</v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Fontinalis antipyretica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1310</v>
      </c>
      <c r="Q37" s="221">
        <f t="shared" si="1"/>
        <v>0.007000000000000001</v>
      </c>
      <c r="R37" s="222">
        <f t="shared" si="2"/>
        <v>1</v>
      </c>
      <c r="S37" s="222">
        <f t="shared" si="3"/>
        <v>10</v>
      </c>
      <c r="T37" s="222">
        <f t="shared" si="4"/>
        <v>10</v>
      </c>
      <c r="U37" s="234">
        <f t="shared" si="5"/>
        <v>1</v>
      </c>
      <c r="V37" s="223">
        <f t="shared" si="6"/>
      </c>
      <c r="W37" s="224" t="s">
        <v>55</v>
      </c>
      <c r="Y37" s="225" t="str">
        <f>IF(A37="new.cod","NEWCOD",IF(AND((Z37=""),ISTEXT(A37)),A37,IF(Z37="","",INDEX('[1]liste reference'!$A$8:$A$904,Z37))))</f>
        <v>FONANT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210</v>
      </c>
      <c r="AA37" s="226"/>
      <c r="AB37" s="227"/>
      <c r="AC37" s="227"/>
      <c r="BB37" s="8">
        <f t="shared" si="7"/>
        <v>1</v>
      </c>
    </row>
    <row r="38" spans="1:54" ht="12.75">
      <c r="A38" s="228" t="s">
        <v>92</v>
      </c>
      <c r="B38" s="229">
        <v>0.01</v>
      </c>
      <c r="C38" s="230">
        <v>0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Rhynchostegium riparioides</v>
      </c>
      <c r="E38" s="231" t="e">
        <f>IF(D38="",,VLOOKUP(D38,D$22:D37,1,0))</f>
        <v>#N/A</v>
      </c>
      <c r="F38" s="236">
        <f t="shared" si="0"/>
        <v>0.007000000000000001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BRm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5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12</v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1</v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Rhynchostegium riparioides</v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1268</v>
      </c>
      <c r="Q38" s="221">
        <f t="shared" si="1"/>
        <v>0.007000000000000001</v>
      </c>
      <c r="R38" s="222">
        <f t="shared" si="2"/>
        <v>1</v>
      </c>
      <c r="S38" s="222">
        <f t="shared" si="3"/>
        <v>12</v>
      </c>
      <c r="T38" s="222">
        <f t="shared" si="4"/>
        <v>12</v>
      </c>
      <c r="U38" s="234">
        <f t="shared" si="5"/>
        <v>1</v>
      </c>
      <c r="V38" s="223">
        <f t="shared" si="6"/>
      </c>
      <c r="W38" s="224" t="s">
        <v>55</v>
      </c>
      <c r="Y38" s="225" t="str">
        <f>IF(A38="new.cod","NEWCOD",IF(AND((Z38=""),ISTEXT(A38)),A38,IF(Z38="","",INDEX('[1]liste reference'!$A$8:$A$904,Z38))))</f>
        <v>RHYRIP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252</v>
      </c>
      <c r="AA38" s="226"/>
      <c r="AB38" s="227"/>
      <c r="AC38" s="227"/>
      <c r="BB38" s="8">
        <f t="shared" si="7"/>
        <v>1</v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aca="true" t="shared" si="8" ref="F55:F82">($B55*$B$7+$C55*$C$7)/100</f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aca="true" t="shared" si="9" ref="Q55:Q82">IF(ISTEXT(H55),"",(B55*$B$7/100)+(C55*$C$7/100))</f>
      </c>
      <c r="R55" s="222">
        <f aca="true" t="shared" si="10" ref="R55:R86">IF(OR(ISTEXT(H55),Q55=0),"",IF(Q55&lt;0.1,1,IF(Q55&lt;1,2,IF(Q55&lt;10,3,IF(Q55&lt;50,4,IF(Q55&gt;=50,5,""))))))</f>
      </c>
      <c r="S55" s="222">
        <f aca="true" t="shared" si="11" ref="S55:S86">IF(ISERROR(R55*I55),0,R55*I55)</f>
        <v>0</v>
      </c>
      <c r="T55" s="222">
        <f aca="true" t="shared" si="12" ref="T55:T82">IF(ISERROR(R55*I55*J55),0,R55*I55*J55)</f>
        <v>0</v>
      </c>
      <c r="U55" s="234">
        <f aca="true" t="shared" si="13" ref="U55:U82">IF(ISERROR(R55*J55),0,R55*J55)</f>
        <v>0</v>
      </c>
      <c r="V55" s="223">
        <f aca="true" t="shared" si="14" ref="V55:V82">IF(AND(A55="",F55=0),"",IF(F55=0,"Il manque le(s) % de rec. !",""))</f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aca="true" t="shared" si="15" ref="BB55:BB82">IF(A55="","",1)</f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8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9"/>
      </c>
      <c r="R56" s="222">
        <f t="shared" si="10"/>
      </c>
      <c r="S56" s="222">
        <f t="shared" si="11"/>
        <v>0</v>
      </c>
      <c r="T56" s="222">
        <f t="shared" si="12"/>
        <v>0</v>
      </c>
      <c r="U56" s="234">
        <f t="shared" si="13"/>
        <v>0</v>
      </c>
      <c r="V56" s="223">
        <f t="shared" si="14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15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8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9"/>
      </c>
      <c r="R57" s="222">
        <f t="shared" si="10"/>
      </c>
      <c r="S57" s="222">
        <f t="shared" si="11"/>
        <v>0</v>
      </c>
      <c r="T57" s="222">
        <f t="shared" si="12"/>
        <v>0</v>
      </c>
      <c r="U57" s="234">
        <f t="shared" si="13"/>
        <v>0</v>
      </c>
      <c r="V57" s="223">
        <f t="shared" si="14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15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8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9"/>
      </c>
      <c r="R58" s="222">
        <f t="shared" si="10"/>
      </c>
      <c r="S58" s="222">
        <f t="shared" si="11"/>
        <v>0</v>
      </c>
      <c r="T58" s="222">
        <f t="shared" si="12"/>
        <v>0</v>
      </c>
      <c r="U58" s="234">
        <f t="shared" si="13"/>
        <v>0</v>
      </c>
      <c r="V58" s="223">
        <f t="shared" si="14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15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8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9"/>
      </c>
      <c r="R59" s="222">
        <f t="shared" si="10"/>
      </c>
      <c r="S59" s="222">
        <f t="shared" si="11"/>
        <v>0</v>
      </c>
      <c r="T59" s="222">
        <f t="shared" si="12"/>
        <v>0</v>
      </c>
      <c r="U59" s="234">
        <f t="shared" si="13"/>
        <v>0</v>
      </c>
      <c r="V59" s="223">
        <f t="shared" si="14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15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8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9"/>
      </c>
      <c r="R60" s="222">
        <f t="shared" si="10"/>
      </c>
      <c r="S60" s="222">
        <f t="shared" si="11"/>
        <v>0</v>
      </c>
      <c r="T60" s="222">
        <f t="shared" si="12"/>
        <v>0</v>
      </c>
      <c r="U60" s="234">
        <f t="shared" si="13"/>
        <v>0</v>
      </c>
      <c r="V60" s="223">
        <f t="shared" si="14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15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8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9"/>
      </c>
      <c r="R61" s="222">
        <f t="shared" si="10"/>
      </c>
      <c r="S61" s="222">
        <f t="shared" si="11"/>
        <v>0</v>
      </c>
      <c r="T61" s="222">
        <f t="shared" si="12"/>
        <v>0</v>
      </c>
      <c r="U61" s="234">
        <f t="shared" si="13"/>
        <v>0</v>
      </c>
      <c r="V61" s="223">
        <f t="shared" si="14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15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8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9"/>
      </c>
      <c r="R62" s="222">
        <f t="shared" si="10"/>
      </c>
      <c r="S62" s="222">
        <f t="shared" si="11"/>
        <v>0</v>
      </c>
      <c r="T62" s="222">
        <f t="shared" si="12"/>
        <v>0</v>
      </c>
      <c r="U62" s="234">
        <f t="shared" si="13"/>
        <v>0</v>
      </c>
      <c r="V62" s="223">
        <f t="shared" si="14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15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8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9"/>
      </c>
      <c r="R63" s="222">
        <f t="shared" si="10"/>
      </c>
      <c r="S63" s="222">
        <f t="shared" si="11"/>
        <v>0</v>
      </c>
      <c r="T63" s="222">
        <f t="shared" si="12"/>
        <v>0</v>
      </c>
      <c r="U63" s="234">
        <f t="shared" si="13"/>
        <v>0</v>
      </c>
      <c r="V63" s="223">
        <f t="shared" si="14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15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8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9"/>
      </c>
      <c r="R64" s="222">
        <f t="shared" si="10"/>
      </c>
      <c r="S64" s="222">
        <f t="shared" si="11"/>
        <v>0</v>
      </c>
      <c r="T64" s="222">
        <f t="shared" si="12"/>
        <v>0</v>
      </c>
      <c r="U64" s="234">
        <f t="shared" si="13"/>
        <v>0</v>
      </c>
      <c r="V64" s="223">
        <f t="shared" si="14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15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8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9"/>
      </c>
      <c r="R65" s="222">
        <f t="shared" si="10"/>
      </c>
      <c r="S65" s="222">
        <f t="shared" si="11"/>
        <v>0</v>
      </c>
      <c r="T65" s="222">
        <f t="shared" si="12"/>
        <v>0</v>
      </c>
      <c r="U65" s="234">
        <f t="shared" si="13"/>
        <v>0</v>
      </c>
      <c r="V65" s="223">
        <f t="shared" si="14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15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8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9"/>
      </c>
      <c r="R66" s="222">
        <f t="shared" si="10"/>
      </c>
      <c r="S66" s="222">
        <f t="shared" si="11"/>
        <v>0</v>
      </c>
      <c r="T66" s="222">
        <f t="shared" si="12"/>
        <v>0</v>
      </c>
      <c r="U66" s="234">
        <f t="shared" si="13"/>
        <v>0</v>
      </c>
      <c r="V66" s="223">
        <f t="shared" si="14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15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8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9"/>
      </c>
      <c r="R67" s="222">
        <f t="shared" si="10"/>
      </c>
      <c r="S67" s="222">
        <f t="shared" si="11"/>
        <v>0</v>
      </c>
      <c r="T67" s="222">
        <f t="shared" si="12"/>
        <v>0</v>
      </c>
      <c r="U67" s="234">
        <f t="shared" si="13"/>
        <v>0</v>
      </c>
      <c r="V67" s="223">
        <f t="shared" si="14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15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8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9"/>
      </c>
      <c r="R68" s="222">
        <f t="shared" si="10"/>
      </c>
      <c r="S68" s="222">
        <f t="shared" si="11"/>
        <v>0</v>
      </c>
      <c r="T68" s="222">
        <f t="shared" si="12"/>
        <v>0</v>
      </c>
      <c r="U68" s="234">
        <f t="shared" si="13"/>
        <v>0</v>
      </c>
      <c r="V68" s="223">
        <f t="shared" si="14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15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8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9"/>
      </c>
      <c r="R69" s="222">
        <f t="shared" si="10"/>
      </c>
      <c r="S69" s="222">
        <f t="shared" si="11"/>
        <v>0</v>
      </c>
      <c r="T69" s="222">
        <f t="shared" si="12"/>
        <v>0</v>
      </c>
      <c r="U69" s="234">
        <f t="shared" si="13"/>
        <v>0</v>
      </c>
      <c r="V69" s="223">
        <f t="shared" si="14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15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8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9"/>
      </c>
      <c r="R70" s="222">
        <f t="shared" si="10"/>
      </c>
      <c r="S70" s="222">
        <f t="shared" si="11"/>
        <v>0</v>
      </c>
      <c r="T70" s="222">
        <f t="shared" si="12"/>
        <v>0</v>
      </c>
      <c r="U70" s="234">
        <f t="shared" si="13"/>
        <v>0</v>
      </c>
      <c r="V70" s="223">
        <f t="shared" si="14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15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8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9"/>
      </c>
      <c r="R71" s="222">
        <f t="shared" si="10"/>
      </c>
      <c r="S71" s="222">
        <f t="shared" si="11"/>
        <v>0</v>
      </c>
      <c r="T71" s="222">
        <f t="shared" si="12"/>
        <v>0</v>
      </c>
      <c r="U71" s="234">
        <f t="shared" si="13"/>
        <v>0</v>
      </c>
      <c r="V71" s="223">
        <f t="shared" si="14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15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8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9"/>
      </c>
      <c r="R72" s="222">
        <f t="shared" si="10"/>
      </c>
      <c r="S72" s="222">
        <f t="shared" si="11"/>
        <v>0</v>
      </c>
      <c r="T72" s="222">
        <f t="shared" si="12"/>
        <v>0</v>
      </c>
      <c r="U72" s="234">
        <f t="shared" si="13"/>
        <v>0</v>
      </c>
      <c r="V72" s="223">
        <f t="shared" si="14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15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8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9"/>
      </c>
      <c r="R73" s="222">
        <f t="shared" si="10"/>
      </c>
      <c r="S73" s="222">
        <f t="shared" si="11"/>
        <v>0</v>
      </c>
      <c r="T73" s="222">
        <f t="shared" si="12"/>
        <v>0</v>
      </c>
      <c r="U73" s="234">
        <f t="shared" si="13"/>
        <v>0</v>
      </c>
      <c r="V73" s="223">
        <f t="shared" si="14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15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8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9"/>
      </c>
      <c r="R74" s="222">
        <f t="shared" si="10"/>
      </c>
      <c r="S74" s="222">
        <f t="shared" si="11"/>
        <v>0</v>
      </c>
      <c r="T74" s="222">
        <f t="shared" si="12"/>
        <v>0</v>
      </c>
      <c r="U74" s="234">
        <f t="shared" si="13"/>
        <v>0</v>
      </c>
      <c r="V74" s="223">
        <f t="shared" si="14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15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8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9"/>
      </c>
      <c r="R75" s="222">
        <f t="shared" si="10"/>
      </c>
      <c r="S75" s="222">
        <f t="shared" si="11"/>
        <v>0</v>
      </c>
      <c r="T75" s="222">
        <f t="shared" si="12"/>
        <v>0</v>
      </c>
      <c r="U75" s="234">
        <f t="shared" si="13"/>
        <v>0</v>
      </c>
      <c r="V75" s="223">
        <f t="shared" si="14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15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8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9"/>
      </c>
      <c r="R76" s="222">
        <f t="shared" si="10"/>
      </c>
      <c r="S76" s="222">
        <f t="shared" si="11"/>
        <v>0</v>
      </c>
      <c r="T76" s="222">
        <f t="shared" si="12"/>
        <v>0</v>
      </c>
      <c r="U76" s="234">
        <f t="shared" si="13"/>
        <v>0</v>
      </c>
      <c r="V76" s="223">
        <f t="shared" si="14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15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8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9"/>
      </c>
      <c r="R77" s="222">
        <f t="shared" si="10"/>
      </c>
      <c r="S77" s="222">
        <f t="shared" si="11"/>
        <v>0</v>
      </c>
      <c r="T77" s="222">
        <f t="shared" si="12"/>
        <v>0</v>
      </c>
      <c r="U77" s="234">
        <f t="shared" si="13"/>
        <v>0</v>
      </c>
      <c r="V77" s="223">
        <f t="shared" si="14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15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8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9"/>
      </c>
      <c r="R78" s="222">
        <f t="shared" si="10"/>
      </c>
      <c r="S78" s="222">
        <f t="shared" si="11"/>
        <v>0</v>
      </c>
      <c r="T78" s="222">
        <f t="shared" si="12"/>
        <v>0</v>
      </c>
      <c r="U78" s="234">
        <f t="shared" si="13"/>
        <v>0</v>
      </c>
      <c r="V78" s="223">
        <f t="shared" si="14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15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8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9"/>
      </c>
      <c r="R79" s="222">
        <f t="shared" si="10"/>
      </c>
      <c r="S79" s="222">
        <f t="shared" si="11"/>
        <v>0</v>
      </c>
      <c r="T79" s="222">
        <f t="shared" si="12"/>
        <v>0</v>
      </c>
      <c r="U79" s="234">
        <f t="shared" si="13"/>
        <v>0</v>
      </c>
      <c r="V79" s="223">
        <f t="shared" si="14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15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8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9"/>
      </c>
      <c r="R80" s="222">
        <f t="shared" si="10"/>
      </c>
      <c r="S80" s="222">
        <f t="shared" si="11"/>
        <v>0</v>
      </c>
      <c r="T80" s="222">
        <f t="shared" si="12"/>
        <v>0</v>
      </c>
      <c r="U80" s="234">
        <f t="shared" si="13"/>
        <v>0</v>
      </c>
      <c r="V80" s="223">
        <f t="shared" si="14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15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8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9"/>
      </c>
      <c r="R81" s="222">
        <f t="shared" si="10"/>
      </c>
      <c r="S81" s="222">
        <f t="shared" si="11"/>
        <v>0</v>
      </c>
      <c r="T81" s="222">
        <f t="shared" si="12"/>
        <v>0</v>
      </c>
      <c r="U81" s="234">
        <f t="shared" si="13"/>
        <v>0</v>
      </c>
      <c r="V81" s="223">
        <f t="shared" si="14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15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8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9"/>
      </c>
      <c r="R82" s="222">
        <f t="shared" si="10"/>
      </c>
      <c r="S82" s="222">
        <f t="shared" si="11"/>
        <v>0</v>
      </c>
      <c r="T82" s="222">
        <f t="shared" si="12"/>
        <v>0</v>
      </c>
      <c r="U82" s="234">
        <f t="shared" si="13"/>
        <v>0</v>
      </c>
      <c r="V82" s="223">
        <f t="shared" si="14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15"/>
      </c>
    </row>
    <row r="83" spans="1:30" ht="15" hidden="1">
      <c r="A83" s="259" t="s">
        <v>93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GUIERS VIF</v>
      </c>
      <c r="B84" s="265" t="str">
        <f>C3</f>
        <v>Guiers Vif aux Echelles</v>
      </c>
      <c r="C84" s="266">
        <f>A4</f>
        <v>41516</v>
      </c>
      <c r="D84" s="267">
        <f>IF(ISERROR(SUM($T$23:$T$82)/SUM($U$23:$U$82)),"",SUM($T$23:$T$82)/SUM($U$23:$U$82))</f>
        <v>12.357142857142858</v>
      </c>
      <c r="E84" s="268">
        <f>N13</f>
        <v>16</v>
      </c>
      <c r="F84" s="265">
        <f>N14</f>
        <v>16</v>
      </c>
      <c r="G84" s="265">
        <f>N15</f>
        <v>8</v>
      </c>
      <c r="H84" s="265">
        <f>N16</f>
        <v>7</v>
      </c>
      <c r="I84" s="265">
        <f>N17</f>
        <v>1</v>
      </c>
      <c r="J84" s="269">
        <f>N8</f>
        <v>11.125</v>
      </c>
      <c r="K84" s="267">
        <f>N9</f>
        <v>3.4977671449083054</v>
      </c>
      <c r="L84" s="268">
        <f>N10</f>
        <v>4</v>
      </c>
      <c r="M84" s="268">
        <f>N11</f>
        <v>18</v>
      </c>
      <c r="N84" s="267">
        <f>O8</f>
        <v>1.5625</v>
      </c>
      <c r="O84" s="267">
        <f>O9</f>
        <v>0.6091746465505602</v>
      </c>
      <c r="P84" s="268">
        <f>O10</f>
        <v>1</v>
      </c>
      <c r="Q84" s="268">
        <f>O11</f>
        <v>3</v>
      </c>
      <c r="R84" s="268">
        <f>F21</f>
        <v>91.35600000000002</v>
      </c>
      <c r="S84" s="268">
        <f>K11</f>
        <v>0</v>
      </c>
      <c r="T84" s="268">
        <f>K12</f>
        <v>11</v>
      </c>
      <c r="U84" s="268">
        <f>K13</f>
        <v>5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94</v>
      </c>
      <c r="R86" s="8"/>
      <c r="S86" s="223"/>
      <c r="T86" s="8"/>
      <c r="U86" s="8"/>
      <c r="V86" s="8"/>
    </row>
    <row r="87" spans="16:22" ht="12.75" hidden="1">
      <c r="P87" s="8"/>
      <c r="Q87" s="8" t="s">
        <v>95</v>
      </c>
      <c r="R87" s="8"/>
      <c r="S87" s="223">
        <f>VLOOKUP(MAX($S$23:$S$82),($S$23:$U$82),1,0)</f>
        <v>72</v>
      </c>
      <c r="T87" s="8"/>
      <c r="U87" s="8"/>
      <c r="V87" s="8"/>
    </row>
    <row r="88" spans="16:22" ht="12.75" hidden="1">
      <c r="P88" s="8"/>
      <c r="Q88" s="8" t="s">
        <v>96</v>
      </c>
      <c r="R88" s="8"/>
      <c r="S88" s="223">
        <f>VLOOKUP((S87),($S$23:$U$82),2,0)</f>
        <v>216</v>
      </c>
      <c r="T88" s="8"/>
      <c r="U88" s="8"/>
      <c r="V88" s="8"/>
    </row>
    <row r="89" spans="17:20" ht="12.75" hidden="1">
      <c r="Q89" s="8" t="s">
        <v>97</v>
      </c>
      <c r="R89" s="8"/>
      <c r="S89" s="223">
        <f>VLOOKUP((S87),($S$23:$U$82),3,0)</f>
        <v>12</v>
      </c>
      <c r="T89" s="8"/>
    </row>
    <row r="90" spans="17:20" ht="12.75">
      <c r="Q90" s="8" t="s">
        <v>98</v>
      </c>
      <c r="R90" s="8"/>
      <c r="S90" s="274">
        <f>IF(ISERROR(SUM($T$23:$T$82)/SUM($U$23:$U$82)),"",(SUM($T$23:$T$82)-S88)/(SUM($U$23:$U$82)-S89))</f>
        <v>10.818181818181818</v>
      </c>
      <c r="T90" s="8"/>
    </row>
    <row r="91" spans="17:21" ht="12.75">
      <c r="Q91" s="222" t="s">
        <v>99</v>
      </c>
      <c r="R91" s="222"/>
      <c r="S91" s="222" t="str">
        <f>INDEX('[1]liste reference'!$A$8:$A$904,$T$91)</f>
        <v>DRASPX</v>
      </c>
      <c r="T91" s="8">
        <f>IF(ISERROR(MATCH($S$93,'[1]liste reference'!$A$8:$A$904,0)),MATCH($S$93,'[1]liste reference'!$B$8:$B$904,0),(MATCH($S$93,'[1]liste reference'!$A$8:$A$904,0)))</f>
        <v>27</v>
      </c>
      <c r="U91" s="263"/>
    </row>
    <row r="92" spans="17:20" ht="12.75">
      <c r="Q92" s="8" t="s">
        <v>100</v>
      </c>
      <c r="R92" s="8"/>
      <c r="S92" s="8">
        <f>MATCH(S87,$S$23:$S$82,0)</f>
        <v>3</v>
      </c>
      <c r="T92" s="8"/>
    </row>
    <row r="93" spans="17:20" ht="12.75">
      <c r="Q93" s="222" t="s">
        <v>101</v>
      </c>
      <c r="R93" s="8"/>
      <c r="S93" s="222" t="str">
        <f>INDEX($A$23:$A$82,$S$92)</f>
        <v>DRASPX</v>
      </c>
      <c r="T93" s="8"/>
    </row>
    <row r="94" ht="12.75">
      <c r="S94" s="263"/>
    </row>
  </sheetData>
  <sheetProtection password="C39F" sheet="1" objects="1" scenarios="1"/>
  <mergeCells count="11">
    <mergeCell ref="A8:C8"/>
    <mergeCell ref="I11:J11"/>
    <mergeCell ref="I12:J12"/>
    <mergeCell ref="I17:J17"/>
    <mergeCell ref="I13:J13"/>
    <mergeCell ref="I14:J14"/>
    <mergeCell ref="I15:J15"/>
    <mergeCell ref="N6:O6"/>
    <mergeCell ref="I18:J18"/>
    <mergeCell ref="K22:O22"/>
    <mergeCell ref="Y83:Z83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1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3" stopIfTrue="1">
      <formula>AND(ISTEXT($G$23),ISBLANK($I$23))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3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3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3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3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3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3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3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5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3" stopIfTrue="1">
      <formula>AND($I23="",$J23="")</formula>
    </cfRule>
    <cfRule type="cellIs" priority="26" dxfId="0" operator="equal" stopIfTrue="1">
      <formula>"DEJA SAISI !"</formula>
    </cfRule>
  </conditionalFormatting>
  <dataValidations count="10">
    <dataValidation type="list" allowBlank="1" showInputMessage="1" sqref="A23:A82">
      <formula1>noms_taxons</formula1>
    </dataValidation>
    <dataValidation type="list" allowBlank="1" showInputMessage="1" showErrorMessage="1" error="saisir un nombre compris entre 0 et 100 %" sqref="B10:C10">
      <formula1>periphyton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B6:C6">
      <formula1>type_courant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list" showInputMessage="1" showErrorMessage="1" errorTitle="ATTENTION" error="Veuillez sélectionner Cf. dans la liste déroulante" sqref="AA23:AA82">
      <formula1>Cf.</formula1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2013-12-18T15:59:42Z</dcterms:created>
  <dcterms:modified xsi:type="dcterms:W3CDTF">2013-12-18T15:59:45Z</dcterms:modified>
  <cp:category/>
  <cp:version/>
  <cp:contentType/>
  <cp:contentStatus/>
</cp:coreProperties>
</file>