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<sst xmlns="http://schemas.openxmlformats.org/spreadsheetml/2006/main" count="218" uniqueCount="98">
  <si>
    <t>Relevés floristiques aquatiques - IBMR</t>
  </si>
  <si>
    <t>modèle Irstea-GIS</t>
  </si>
  <si>
    <t>SAGE ENVIRONNEMENT</t>
  </si>
  <si>
    <t>M;SCHNEIDER P. BELLY</t>
  </si>
  <si>
    <t>EBRON</t>
  </si>
  <si>
    <t>EBRON A PREBOIS</t>
  </si>
  <si>
    <t>06580884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</si>
  <si>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</si>
  <si>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</si>
  <si>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</si>
  <si>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</si>
  <si>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</si>
  <si>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</si>
  <si>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</si>
  <si>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</si>
  <si>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</si>
  <si>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BANSPX</t>
  </si>
  <si>
    <t>Faciès dominant</t>
  </si>
  <si>
    <t>radier</t>
  </si>
  <si>
    <t>pl. lent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</si>
  <si>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</si>
  <si>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</si>
  <si>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</si>
  <si>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</si>
  <si>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</si>
  <si>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</si>
  <si>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</si>
  <si>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</si>
  <si>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</si>
  <si>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</si>
  <si>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</si>
  <si>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</si>
  <si>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</si>
  <si>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</si>
  <si>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</si>
  <si>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</si>
  <si>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</si>
  <si>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</si>
  <si>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</si>
  <si>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</si>
  <si>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</si>
  <si>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</si>
  <si>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</si>
  <si>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</si>
  <si>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</si>
  <si>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</si>
  <si>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</si>
  <si>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</si>
  <si>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</si>
  <si>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</si>
  <si>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</si>
  <si>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</si>
  <si>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</si>
  <si>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</si>
  <si>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</si>
  <si>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</si>
  <si>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</si>
  <si>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</si>
  <si>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</si>
  <si>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</si>
  <si>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</si>
  <si>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</si>
  <si>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</si>
  <si>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</si>
  <si>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</si>
  <si>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</si>
  <si>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</si>
  <si>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</si>
  <si>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</si>
  <si>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</si>
  <si>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</si>
  <si>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</si>
  <si>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</si>
  <si>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</si>
  <si>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</si>
  <si>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</si>
  <si>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</si>
  <si>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</si>
  <si>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</si>
  <si>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</si>
  <si>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 xml:space="preserve"> -</t>
  </si>
  <si>
    <t>CLASPX</t>
  </si>
  <si>
    <t>ENCSPX</t>
  </si>
  <si>
    <t>GONSPX</t>
  </si>
  <si>
    <t>PHOSPX</t>
  </si>
  <si>
    <t>ULOSPX</t>
  </si>
  <si>
    <t>BRYSPX</t>
  </si>
  <si>
    <t>RHYRIP</t>
  </si>
  <si>
    <t>newcod</t>
  </si>
  <si>
    <t>Autres diatomées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</si>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</sst>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EBROP_29-06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AB40" sqref="AB40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42184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10</v>
      </c>
      <c r="N5" s="50"/>
      <c r="O5" s="51" t="s">
        <v>16</v>
      </c>
      <c r="P5" s="52">
        <v>10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3</v>
      </c>
      <c r="P6" s="64" t="s">
        <v>21</v>
      </c>
      <c r="Q6" s="65"/>
      <c r="R6" s="5"/>
      <c r="S6" s="5"/>
      <c r="T6" s="5"/>
      <c r="U6" s="5"/>
      <c r="V6" s="5"/>
      <c r="W6" s="20"/>
    </row>
    <row r="7" spans="1:23" ht="12.75">
      <c r="A7" s="66" t="s">
        <v>22</v>
      </c>
      <c r="B7" s="67">
        <v>95</v>
      </c>
      <c r="C7" s="68">
        <v>5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23</v>
      </c>
      <c r="P7" s="77" t="s">
        <v>24</v>
      </c>
      <c r="Q7" s="78"/>
      <c r="R7" s="5"/>
      <c r="S7" s="5"/>
      <c r="T7" s="5"/>
      <c r="U7" s="5"/>
      <c r="V7" s="5"/>
      <c r="W7" s="20"/>
    </row>
    <row r="8" spans="1:23" ht="12.75">
      <c r="A8" s="79" t="s">
        <v>25</v>
      </c>
      <c r="B8" s="80"/>
      <c r="C8" s="81"/>
      <c r="D8" s="56"/>
      <c r="E8" s="56"/>
      <c r="F8" s="82" t="s">
        <v>26</v>
      </c>
      <c r="G8" s="83"/>
      <c r="H8" s="56"/>
      <c r="I8" s="5"/>
      <c r="J8" s="71"/>
      <c r="K8" s="72"/>
      <c r="L8" s="73"/>
      <c r="M8" s="74"/>
      <c r="N8" s="84" t="s">
        <v>27</v>
      </c>
      <c r="O8" s="85">
        <f>IF(ISERROR(AVERAGE(J23:J82))," ",AVERAGE(J23:J82))</f>
        <v>10.2</v>
      </c>
      <c r="P8" s="85">
        <f>IF(ISERROR(AVERAGE(K23:K82)),"  ",AVERAGE(K23:K82))</f>
        <v>1.4</v>
      </c>
      <c r="Q8" s="86"/>
      <c r="R8" s="5"/>
      <c r="S8" s="5"/>
      <c r="T8" s="5"/>
      <c r="U8" s="5"/>
      <c r="V8" s="5"/>
      <c r="W8" s="20"/>
    </row>
    <row r="9" spans="1:23" ht="12.75">
      <c r="A9" s="40" t="s">
        <v>28</v>
      </c>
      <c r="B9" s="87">
        <v>0.16</v>
      </c>
      <c r="C9" s="88">
        <v>12</v>
      </c>
      <c r="D9" s="89"/>
      <c r="E9" s="89"/>
      <c r="F9" s="90">
        <f>($B9*$B$7+$C9*$C$7)/100</f>
        <v>0.752</v>
      </c>
      <c r="G9" s="91"/>
      <c r="H9" s="43"/>
      <c r="I9" s="5"/>
      <c r="J9" s="92"/>
      <c r="K9" s="93"/>
      <c r="L9" s="73"/>
      <c r="M9" s="94"/>
      <c r="N9" s="84" t="s">
        <v>29</v>
      </c>
      <c r="O9" s="85">
        <f>IF(ISERROR(STDEVP(J23:J82))," ",STDEVP(J23:J82))</f>
        <v>2.4</v>
      </c>
      <c r="P9" s="85">
        <f>IF(ISERROR(STDEVP(K23:K82)),"  ",STDEVP(K23:K82))</f>
        <v>0.4898979485566356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30</v>
      </c>
      <c r="B10" s="95" t="s">
        <v>31</v>
      </c>
      <c r="C10" s="96" t="s">
        <v>31</v>
      </c>
      <c r="D10" s="89"/>
      <c r="E10" s="89"/>
      <c r="F10" s="90"/>
      <c r="G10" s="91"/>
      <c r="H10" s="56"/>
      <c r="I10" s="5"/>
      <c r="J10" s="97"/>
      <c r="K10" s="98" t="s">
        <v>32</v>
      </c>
      <c r="L10" s="99"/>
      <c r="M10" s="100"/>
      <c r="N10" s="84" t="s">
        <v>33</v>
      </c>
      <c r="O10" s="101">
        <f>MIN(J23:J82)</f>
        <v>6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34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35</v>
      </c>
      <c r="K11" s="109"/>
      <c r="L11" s="110">
        <f>COUNTIF($G$23:$G$82,"=HET")</f>
        <v>0</v>
      </c>
      <c r="M11" s="111"/>
      <c r="N11" s="84" t="s">
        <v>36</v>
      </c>
      <c r="O11" s="101">
        <f>MAX(J23:J82)</f>
        <v>13</v>
      </c>
      <c r="P11" s="101">
        <f>MAX(K23:K82)</f>
        <v>2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37</v>
      </c>
      <c r="B12" s="113">
        <v>0.13</v>
      </c>
      <c r="C12" s="114">
        <v>11</v>
      </c>
      <c r="D12" s="89"/>
      <c r="E12" s="89"/>
      <c r="F12" s="106">
        <f>($B12*$B$7+$C12*$C$7)/100</f>
        <v>0.6735</v>
      </c>
      <c r="G12" s="107"/>
      <c r="H12" s="56"/>
      <c r="I12" s="5"/>
      <c r="J12" s="108" t="s">
        <v>38</v>
      </c>
      <c r="K12" s="109"/>
      <c r="L12" s="110">
        <f>COUNTIF($G$23:$G$82,"=ALG")</f>
        <v>6</v>
      </c>
      <c r="M12" s="111"/>
      <c r="N12" s="115"/>
      <c r="O12" s="116" t="s">
        <v>32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39</v>
      </c>
      <c r="B13" s="113">
        <v>0.03</v>
      </c>
      <c r="C13" s="114">
        <v>1</v>
      </c>
      <c r="D13" s="89"/>
      <c r="E13" s="89"/>
      <c r="F13" s="106">
        <f>($B13*$B$7+$C13*$C$7)/100</f>
        <v>0.0785</v>
      </c>
      <c r="G13" s="107"/>
      <c r="H13" s="56"/>
      <c r="I13" s="5"/>
      <c r="J13" s="119" t="s">
        <v>40</v>
      </c>
      <c r="K13" s="109"/>
      <c r="L13" s="110">
        <f>COUNTIF($G$23:$G$82,"=BRm")+COUNTIF($G$23:$G$82,"=BRh")</f>
        <v>2</v>
      </c>
      <c r="M13" s="111"/>
      <c r="N13" s="120" t="s">
        <v>41</v>
      </c>
      <c r="O13" s="121">
        <f>COUNTIF(F23:F82,"&gt;0")</f>
        <v>9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42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43</v>
      </c>
      <c r="K14" s="109"/>
      <c r="L14" s="110">
        <f>COUNTIF($G$23:$G$82,"=PTE")+COUNTIF($G$23:$G$82,"=LIC")</f>
        <v>0</v>
      </c>
      <c r="M14" s="111"/>
      <c r="N14" s="123" t="s">
        <v>44</v>
      </c>
      <c r="O14" s="124">
        <f>COUNTIF($J$23:$J$82,"&gt;-1")</f>
        <v>5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45</v>
      </c>
      <c r="B15" s="127"/>
      <c r="C15" s="128"/>
      <c r="D15" s="89"/>
      <c r="E15" s="89"/>
      <c r="F15" s="106">
        <f>($B15*$B$7+$C15*$C$7)/100</f>
        <v>0</v>
      </c>
      <c r="G15" s="107"/>
      <c r="H15" s="56"/>
      <c r="I15" s="5"/>
      <c r="J15" s="119" t="s">
        <v>46</v>
      </c>
      <c r="K15" s="109"/>
      <c r="L15" s="110">
        <f>(COUNTIF($G$23:$G$82,"=PHy"))+(COUNTIF($G$23:$G$82,"=PHe"))+(COUNTIF($G$23:$G$82,"=PHg"))+(COUNTIF($G$23:$G$82,"=PHx"))</f>
        <v>0</v>
      </c>
      <c r="M15" s="111"/>
      <c r="N15" s="120" t="s">
        <v>47</v>
      </c>
      <c r="O15" s="121">
        <f>COUNTIF(K23:K82,"=1")</f>
        <v>3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48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49</v>
      </c>
      <c r="O16" s="121">
        <f>COUNTIF(K23:K82,"=2")</f>
        <v>2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50</v>
      </c>
      <c r="B17" s="113">
        <v>0.16</v>
      </c>
      <c r="C17" s="114">
        <v>12</v>
      </c>
      <c r="D17" s="89"/>
      <c r="E17" s="89"/>
      <c r="F17" s="133"/>
      <c r="G17" s="134">
        <f>($B17*$B$7+$C17*$C$7)/100</f>
        <v>0.752</v>
      </c>
      <c r="H17" s="56"/>
      <c r="I17" s="5"/>
      <c r="J17" s="135"/>
      <c r="K17" s="136"/>
      <c r="L17" s="137" t="s">
        <v>51</v>
      </c>
      <c r="M17" s="138">
        <f>IF(ISERROR((O13-(COUNTIF(J23:J82,"nc")))/O13),"-",(O13-(COUNTIF(J23:J82,"nc")))/O13)</f>
        <v>0.6666666666666666</v>
      </c>
      <c r="N17" s="120" t="s">
        <v>52</v>
      </c>
      <c r="O17" s="121">
        <f>COUNTIF(K23:K82,"=3")</f>
        <v>0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53</v>
      </c>
      <c r="B18" s="142"/>
      <c r="C18" s="143"/>
      <c r="D18" s="89"/>
      <c r="E18" s="144" t="s">
        <v>54</v>
      </c>
      <c r="F18" s="133"/>
      <c r="G18" s="134">
        <f>($B18*$B$7+$C18*$C$7)/100</f>
        <v>0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55</v>
      </c>
      <c r="X18" s="9" t="s">
        <v>55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0.752</v>
      </c>
      <c r="G19" s="157">
        <f>SUM(G16:G18)</f>
        <v>0.752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55</v>
      </c>
      <c r="X19" s="9" t="s">
        <v>55</v>
      </c>
    </row>
    <row r="20" spans="1:23" ht="12.75">
      <c r="A20" s="165" t="s">
        <v>56</v>
      </c>
      <c r="B20" s="166">
        <f>SUM(B23:B62)</f>
        <v>0.15999999999999998</v>
      </c>
      <c r="C20" s="167">
        <f>SUM(C23:C62)</f>
        <v>12.000000000000002</v>
      </c>
      <c r="D20" s="168"/>
      <c r="E20" s="169" t="s">
        <v>54</v>
      </c>
      <c r="F20" s="170">
        <f>($B20*$B$7+$C20*$C$7)/100</f>
        <v>0.752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57</v>
      </c>
      <c r="B21" s="178">
        <f>B20*B7/100</f>
        <v>0.15199999999999997</v>
      </c>
      <c r="C21" s="178">
        <f>C20*C7/100</f>
        <v>0.6000000000000001</v>
      </c>
      <c r="D21" s="179" t="s">
        <v>58</v>
      </c>
      <c r="E21" s="180"/>
      <c r="F21" s="181">
        <f>B21+C21</f>
        <v>0.752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59</v>
      </c>
    </row>
    <row r="22" spans="1:26" ht="12.75">
      <c r="A22" s="190" t="s">
        <v>60</v>
      </c>
      <c r="B22" s="191" t="s">
        <v>61</v>
      </c>
      <c r="C22" s="191" t="s">
        <v>61</v>
      </c>
      <c r="D22" s="192"/>
      <c r="E22" s="193"/>
      <c r="F22" s="194" t="s">
        <v>62</v>
      </c>
      <c r="G22" s="195" t="s">
        <v>63</v>
      </c>
      <c r="H22" s="89" t="s">
        <v>64</v>
      </c>
      <c r="I22" s="5" t="s">
        <v>65</v>
      </c>
      <c r="J22" s="196" t="s">
        <v>66</v>
      </c>
      <c r="K22" s="196" t="s">
        <v>67</v>
      </c>
      <c r="L22" s="197" t="s">
        <v>68</v>
      </c>
      <c r="M22" s="197"/>
      <c r="N22" s="197"/>
      <c r="O22" s="197"/>
      <c r="P22" s="189" t="s">
        <v>69</v>
      </c>
      <c r="Q22" s="198" t="s">
        <v>70</v>
      </c>
      <c r="R22" s="199" t="s">
        <v>71</v>
      </c>
      <c r="S22" s="200" t="s">
        <v>72</v>
      </c>
      <c r="T22" s="201" t="s">
        <v>73</v>
      </c>
      <c r="U22" s="201" t="s">
        <v>74</v>
      </c>
      <c r="V22" s="202" t="s">
        <v>75</v>
      </c>
      <c r="W22" s="203" t="s">
        <v>76</v>
      </c>
      <c r="X22" s="204" t="s">
        <v>77</v>
      </c>
      <c r="Y22" s="205" t="s">
        <v>78</v>
      </c>
      <c r="Z22" s="205" t="s">
        <v>79</v>
      </c>
    </row>
    <row r="23" spans="1:26" ht="12.75">
      <c r="A23" s="206" t="s">
        <v>16</v>
      </c>
      <c r="B23" s="207">
        <v>0.01</v>
      </c>
      <c r="C23" s="208">
        <v>0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Bangia sp.</v>
      </c>
      <c r="E23" s="210" t="e">
        <f>IF(D23="",,VLOOKUP(D23,D$22:D22,1,0))</f>
        <v>#N/A</v>
      </c>
      <c r="F23" s="211">
        <f aca="true" t="shared" si="0" ref="F23:F82">IF(AND(OR(A23="",A23="!!!!!!"),B23="",C23=""),"",IF(OR(AND(B23="",C23=""),ISERROR(C23+B23)),"!!!",($B23*$B$7+$C23*$C$7)/100))</f>
        <v>0.009500000000000001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 aca="true" t="shared" si="1" ref="I23:I82"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10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2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Bangia sp.</v>
      </c>
      <c r="M23" s="216"/>
      <c r="N23" s="216"/>
      <c r="O23" s="216"/>
      <c r="P23" s="217" t="s">
        <v>80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1153</v>
      </c>
      <c r="R23" s="219">
        <f aca="true" t="shared" si="2" ref="R23:R82">IF(ISTEXT(H23),"",(B23*$B$7/100)+(C23*$C$7/100))</f>
        <v>0.009500000000000001</v>
      </c>
      <c r="S23" s="220">
        <f aca="true" t="shared" si="3" ref="S23:S82">IF(OR(ISTEXT(H23),R23=0),"",IF(R23&lt;0.1,1,IF(R23&lt;1,2,IF(R23&lt;10,3,IF(R23&lt;50,4,IF(R23&gt;=50,5,""))))))</f>
        <v>1</v>
      </c>
      <c r="T23" s="220">
        <f aca="true" t="shared" si="4" ref="T23:T82">IF(ISERROR(S23*J23),0,S23*J23)</f>
        <v>10</v>
      </c>
      <c r="U23" s="220">
        <f aca="true" t="shared" si="5" ref="U23:U82">IF(ISERROR(S23*J23*K23),0,S23*J23*K23)</f>
        <v>20</v>
      </c>
      <c r="V23" s="220">
        <f aca="true" t="shared" si="6" ref="V23:V82">IF(ISERROR(S23*K23),0,S23*K23)</f>
        <v>2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BANSPX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9</v>
      </c>
    </row>
    <row r="24" spans="1:26" ht="12.75">
      <c r="A24" s="224" t="s">
        <v>81</v>
      </c>
      <c r="B24" s="225">
        <v>0.04</v>
      </c>
      <c r="C24" s="226">
        <v>9.9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Cladophora sp.</v>
      </c>
      <c r="E24" s="228" t="e">
        <f>IF(D24="",,VLOOKUP(D24,D$22:D23,1,0))</f>
        <v>#N/A</v>
      </c>
      <c r="F24" s="229">
        <f t="shared" si="0"/>
        <v>0.5329999999999999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 t="shared" si="1"/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6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1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Cladophora sp.</v>
      </c>
      <c r="M24" s="233"/>
      <c r="N24" s="233"/>
      <c r="O24" s="233"/>
      <c r="P24" s="234" t="s">
        <v>80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1124</v>
      </c>
      <c r="R24" s="219">
        <f t="shared" si="2"/>
        <v>0.533</v>
      </c>
      <c r="S24" s="220">
        <f t="shared" si="3"/>
        <v>2</v>
      </c>
      <c r="T24" s="220">
        <f t="shared" si="4"/>
        <v>12</v>
      </c>
      <c r="U24" s="220">
        <f t="shared" si="5"/>
        <v>12</v>
      </c>
      <c r="V24" s="236">
        <f t="shared" si="6"/>
        <v>2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CLASPX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35</v>
      </c>
    </row>
    <row r="25" spans="1:26" ht="12.75">
      <c r="A25" s="224" t="s">
        <v>82</v>
      </c>
      <c r="B25" s="225">
        <v>0.01</v>
      </c>
      <c r="C25" s="226">
        <v>0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Encyonema sp.</v>
      </c>
      <c r="E25" s="228" t="e">
        <f>IF(D25="",,VLOOKUP(D25,D$22:D24,1,0))</f>
        <v>#N/A</v>
      </c>
      <c r="F25" s="229">
        <f t="shared" si="0"/>
        <v>0.009500000000000001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ALG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2</v>
      </c>
      <c r="I25" s="5">
        <f t="shared" si="1"/>
        <v>1</v>
      </c>
      <c r="J25" s="232" t="str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nc</v>
      </c>
      <c r="K25" s="232" t="str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nc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Encyonema sp.</v>
      </c>
      <c r="M25" s="233"/>
      <c r="N25" s="233"/>
      <c r="O25" s="233"/>
      <c r="P25" s="234" t="s">
        <v>80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9378</v>
      </c>
      <c r="R25" s="219">
        <f t="shared" si="2"/>
        <v>0.009500000000000001</v>
      </c>
      <c r="S25" s="220">
        <f t="shared" si="3"/>
        <v>1</v>
      </c>
      <c r="T25" s="220">
        <f t="shared" si="4"/>
        <v>0</v>
      </c>
      <c r="U25" s="220">
        <f t="shared" si="5"/>
        <v>0</v>
      </c>
      <c r="V25" s="236">
        <f t="shared" si="6"/>
        <v>0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ENCSPX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45</v>
      </c>
    </row>
    <row r="26" spans="1:26" ht="12.75">
      <c r="A26" s="224" t="s">
        <v>83</v>
      </c>
      <c r="B26" s="225">
        <v>0.01</v>
      </c>
      <c r="C26" s="226">
        <v>0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Gongrosira sp.</v>
      </c>
      <c r="E26" s="228" t="e">
        <f>IF(D26="",,VLOOKUP(D26,D$22:D25,1,0))</f>
        <v>#N/A</v>
      </c>
      <c r="F26" s="229">
        <f t="shared" si="0"/>
        <v>0.009500000000000001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ALG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2</v>
      </c>
      <c r="I26" s="5">
        <f t="shared" si="1"/>
        <v>1</v>
      </c>
      <c r="J26" s="232" t="str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nc</v>
      </c>
      <c r="K26" s="232" t="str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nc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Gongrosira sp.</v>
      </c>
      <c r="M26" s="233"/>
      <c r="N26" s="233"/>
      <c r="O26" s="233"/>
      <c r="P26" s="234" t="s">
        <v>80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30105</v>
      </c>
      <c r="R26" s="219">
        <f t="shared" si="2"/>
        <v>0.009500000000000001</v>
      </c>
      <c r="S26" s="220">
        <f t="shared" si="3"/>
        <v>1</v>
      </c>
      <c r="T26" s="220">
        <f t="shared" si="4"/>
        <v>0</v>
      </c>
      <c r="U26" s="220">
        <f t="shared" si="5"/>
        <v>0</v>
      </c>
      <c r="V26" s="236">
        <f t="shared" si="6"/>
        <v>0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GONSPX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50</v>
      </c>
    </row>
    <row r="27" spans="1:26" ht="12.75">
      <c r="A27" s="224" t="s">
        <v>84</v>
      </c>
      <c r="B27" s="225">
        <v>0.03</v>
      </c>
      <c r="C27" s="226">
        <v>1.05</v>
      </c>
      <c r="D27" s="227" t="str">
        <f>IF(ISERROR(VLOOKUP($A27,'[1]liste reference'!$A$6:$B$1174,2,0)),IF(ISERROR(VLOOKUP($A27,'[1]liste reference'!$B$6:$B$1174,1,0)),"",VLOOKUP($A27,'[1]liste reference'!$B$6:$B$1174,1,0)),VLOOKUP($A27,'[1]liste reference'!$A$6:$B$1174,2,0))</f>
        <v>Phormidium sp.</v>
      </c>
      <c r="E27" s="228" t="e">
        <f>IF(D27="",,VLOOKUP(D27,D$22:D26,1,0))</f>
        <v>#N/A</v>
      </c>
      <c r="F27" s="229">
        <f t="shared" si="0"/>
        <v>0.081</v>
      </c>
      <c r="G27" s="230" t="str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  <v>ALG</v>
      </c>
      <c r="H27" s="231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2</v>
      </c>
      <c r="I27" s="5">
        <f t="shared" si="1"/>
        <v>1</v>
      </c>
      <c r="J27" s="232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13</v>
      </c>
      <c r="K27" s="232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2</v>
      </c>
      <c r="L27" s="215" t="str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  <v>Phormidium sp.</v>
      </c>
      <c r="M27" s="233"/>
      <c r="N27" s="233"/>
      <c r="O27" s="233"/>
      <c r="P27" s="234" t="s">
        <v>80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  <v>6414</v>
      </c>
      <c r="R27" s="219">
        <f t="shared" si="2"/>
        <v>0.081</v>
      </c>
      <c r="S27" s="220">
        <f t="shared" si="3"/>
        <v>1</v>
      </c>
      <c r="T27" s="220">
        <f t="shared" si="4"/>
        <v>13</v>
      </c>
      <c r="U27" s="220">
        <f t="shared" si="5"/>
        <v>26</v>
      </c>
      <c r="V27" s="236">
        <f t="shared" si="6"/>
        <v>2</v>
      </c>
      <c r="W27" s="237"/>
      <c r="X27" s="238"/>
      <c r="Y27" s="223" t="str">
        <f>IF(AND(ISNUMBER(F27),OR(A27="",A27="!!!!!!")),"!!!!!!",IF(A27="new.cod","NEWCOD",IF(AND((Z27=""),ISTEXT(A27),A27&lt;&gt;"!!!!!!"),A27,IF(Z27="","",INDEX('[1]liste reference'!$A$6:$A$1174,Z27)))))</f>
        <v>PHOSPX</v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  <v>88</v>
      </c>
    </row>
    <row r="28" spans="1:26" ht="12.75">
      <c r="A28" s="224" t="s">
        <v>85</v>
      </c>
      <c r="B28" s="225">
        <v>0.01</v>
      </c>
      <c r="C28" s="226">
        <v>0.05000000000000001</v>
      </c>
      <c r="D28" s="227" t="str">
        <f>IF(ISERROR(VLOOKUP($A28,'[1]liste reference'!$A$6:$B$1174,2,0)),IF(ISERROR(VLOOKUP($A28,'[1]liste reference'!$B$6:$B$1174,1,0)),"",VLOOKUP($A28,'[1]liste reference'!$B$6:$B$1174,1,0)),VLOOKUP($A28,'[1]liste reference'!$A$6:$B$1174,2,0))</f>
        <v>Ulothrix sp.</v>
      </c>
      <c r="E28" s="228" t="e">
        <f>IF(D28="",,VLOOKUP(D28,D$22:D27,1,0))</f>
        <v>#N/A</v>
      </c>
      <c r="F28" s="229">
        <f t="shared" si="0"/>
        <v>0.012000000000000002</v>
      </c>
      <c r="G28" s="230" t="str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  <v>ALG</v>
      </c>
      <c r="H28" s="231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2</v>
      </c>
      <c r="I28" s="5">
        <f t="shared" si="1"/>
        <v>1</v>
      </c>
      <c r="J28" s="232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10</v>
      </c>
      <c r="K28" s="232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1</v>
      </c>
      <c r="L28" s="215" t="str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  <v>Ulothrix sp.</v>
      </c>
      <c r="M28" s="233"/>
      <c r="N28" s="233"/>
      <c r="O28" s="233"/>
      <c r="P28" s="234" t="s">
        <v>80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  <v>1142</v>
      </c>
      <c r="R28" s="219">
        <f t="shared" si="2"/>
        <v>0.012000000000000002</v>
      </c>
      <c r="S28" s="220">
        <f t="shared" si="3"/>
        <v>1</v>
      </c>
      <c r="T28" s="220">
        <f t="shared" si="4"/>
        <v>10</v>
      </c>
      <c r="U28" s="220">
        <f t="shared" si="5"/>
        <v>10</v>
      </c>
      <c r="V28" s="236">
        <f t="shared" si="6"/>
        <v>1</v>
      </c>
      <c r="W28" s="237"/>
      <c r="X28" s="238"/>
      <c r="Y28" s="223" t="str">
        <f>IF(AND(ISNUMBER(F28),OR(A28="",A28="!!!!!!")),"!!!!!!",IF(A28="new.cod","NEWCOD",IF(AND((Z28=""),ISTEXT(A28),A28&lt;&gt;"!!!!!!"),A28,IF(Z28="","",INDEX('[1]liste reference'!$A$6:$A$1174,Z28)))))</f>
        <v>ULOSPX</v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  <v>116</v>
      </c>
    </row>
    <row r="29" spans="1:26" ht="12.75">
      <c r="A29" s="224" t="s">
        <v>86</v>
      </c>
      <c r="B29" s="225">
        <v>0.01</v>
      </c>
      <c r="C29" s="226">
        <v>0</v>
      </c>
      <c r="D29" s="227" t="str">
        <f>IF(ISERROR(VLOOKUP($A29,'[1]liste reference'!$A$6:$B$1174,2,0)),IF(ISERROR(VLOOKUP($A29,'[1]liste reference'!$B$6:$B$1174,1,0)),"",VLOOKUP($A29,'[1]liste reference'!$B$6:$B$1174,1,0)),VLOOKUP($A29,'[1]liste reference'!$A$6:$B$1174,2,0))</f>
        <v>Bryum sp.</v>
      </c>
      <c r="E29" s="228" t="e">
        <f>IF(D29="",,VLOOKUP(D29,D$22:D28,1,0))</f>
        <v>#N/A</v>
      </c>
      <c r="F29" s="229">
        <f t="shared" si="0"/>
        <v>0.009500000000000001</v>
      </c>
      <c r="G29" s="230" t="str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  <v>BRm</v>
      </c>
      <c r="H29" s="231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5</v>
      </c>
      <c r="I29" s="5">
        <f t="shared" si="1"/>
        <v>1</v>
      </c>
      <c r="J29" s="232" t="str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nc</v>
      </c>
      <c r="K29" s="232" t="str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nc</v>
      </c>
      <c r="L29" s="215" t="str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  <v>Bryum sp.</v>
      </c>
      <c r="M29" s="233"/>
      <c r="N29" s="233"/>
      <c r="O29" s="233"/>
      <c r="P29" s="234" t="s">
        <v>80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  <v>1272</v>
      </c>
      <c r="R29" s="219">
        <f t="shared" si="2"/>
        <v>0.009500000000000001</v>
      </c>
      <c r="S29" s="220">
        <f t="shared" si="3"/>
        <v>1</v>
      </c>
      <c r="T29" s="220">
        <f t="shared" si="4"/>
        <v>0</v>
      </c>
      <c r="U29" s="220">
        <f t="shared" si="5"/>
        <v>0</v>
      </c>
      <c r="V29" s="236">
        <f t="shared" si="6"/>
        <v>0</v>
      </c>
      <c r="W29" s="237"/>
      <c r="X29" s="238"/>
      <c r="Y29" s="223" t="str">
        <f>IF(AND(ISNUMBER(F29),OR(A29="",A29="!!!!!!")),"!!!!!!",IF(A29="new.cod","NEWCOD",IF(AND((Z29=""),ISTEXT(A29),A29&lt;&gt;"!!!!!!"),A29,IF(Z29="","",INDEX('[1]liste reference'!$A$6:$A$1174,Z29)))))</f>
        <v>BRYSPX</v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  <v>213</v>
      </c>
    </row>
    <row r="30" spans="1:26" ht="12.75">
      <c r="A30" s="224" t="s">
        <v>87</v>
      </c>
      <c r="B30" s="225">
        <v>0.02</v>
      </c>
      <c r="C30" s="226">
        <v>1</v>
      </c>
      <c r="D30" s="227" t="str">
        <f>IF(ISERROR(VLOOKUP($A30,'[1]liste reference'!$A$6:$B$1174,2,0)),IF(ISERROR(VLOOKUP($A30,'[1]liste reference'!$B$6:$B$1174,1,0)),"",VLOOKUP($A30,'[1]liste reference'!$B$6:$B$1174,1,0)),VLOOKUP($A30,'[1]liste reference'!$A$6:$B$1174,2,0))</f>
        <v>Rhynchostegium riparioides</v>
      </c>
      <c r="E30" s="228" t="e">
        <f>IF(D30="",,VLOOKUP(D30,D$22:D29,1,0))</f>
        <v>#N/A</v>
      </c>
      <c r="F30" s="229">
        <f t="shared" si="0"/>
        <v>0.069</v>
      </c>
      <c r="G30" s="230" t="str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  <v>BRm</v>
      </c>
      <c r="H30" s="231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5</v>
      </c>
      <c r="I30" s="5">
        <f t="shared" si="1"/>
        <v>1</v>
      </c>
      <c r="J30" s="232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12</v>
      </c>
      <c r="K30" s="232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1</v>
      </c>
      <c r="L30" s="215" t="str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  <v>Rhynchostegium riparioides</v>
      </c>
      <c r="M30" s="233"/>
      <c r="N30" s="233"/>
      <c r="O30" s="233"/>
      <c r="P30" s="234" t="s">
        <v>80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  <v>31691</v>
      </c>
      <c r="R30" s="219">
        <f t="shared" si="2"/>
        <v>0.069</v>
      </c>
      <c r="S30" s="220">
        <f t="shared" si="3"/>
        <v>1</v>
      </c>
      <c r="T30" s="220">
        <f t="shared" si="4"/>
        <v>12</v>
      </c>
      <c r="U30" s="220">
        <f t="shared" si="5"/>
        <v>12</v>
      </c>
      <c r="V30" s="236">
        <f t="shared" si="6"/>
        <v>1</v>
      </c>
      <c r="W30" s="237"/>
      <c r="X30" s="238"/>
      <c r="Y30" s="223" t="str">
        <f>IF(AND(ISNUMBER(F30),OR(A30="",A30="!!!!!!")),"!!!!!!",IF(A30="new.cod","NEWCOD",IF(AND((Z30=""),ISTEXT(A30),A30&lt;&gt;"!!!!!!"),A30,IF(Z30="","",INDEX('[1]liste reference'!$A$6:$A$1174,Z30)))))</f>
        <v>RHYRIP</v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  <v>345</v>
      </c>
    </row>
    <row r="31" spans="1:26" ht="12.75">
      <c r="A31" s="224" t="s">
        <v>88</v>
      </c>
      <c r="B31" s="225">
        <v>0.02</v>
      </c>
      <c r="C31" s="226">
        <v>0</v>
      </c>
      <c r="D31" s="227">
        <f>IF(ISERROR(VLOOKUP($A31,'[1]liste reference'!$A$6:$B$1174,2,0)),IF(ISERROR(VLOOKUP($A31,'[1]liste reference'!$B$6:$B$1174,1,0)),"",VLOOKUP($A31,'[1]liste reference'!$B$6:$B$1174,1,0)),VLOOKUP($A31,'[1]liste reference'!$A$6:$B$1174,2,0))</f>
      </c>
      <c r="E31" s="228">
        <f>IF(D31="",,VLOOKUP(D31,D$22:D30,1,0))</f>
        <v>0</v>
      </c>
      <c r="F31" s="229">
        <f t="shared" si="0"/>
        <v>0.019000000000000003</v>
      </c>
      <c r="G31" s="230" t="str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  <v>    -</v>
      </c>
      <c r="H31" s="231" t="str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x</v>
      </c>
      <c r="I31" s="5">
        <f t="shared" si="1"/>
        <v>1</v>
      </c>
      <c r="J31" s="232" t="str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nu</v>
      </c>
      <c r="K31" s="232" t="str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nu</v>
      </c>
      <c r="L31" s="215" t="str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  <v>Autres diatomées</v>
      </c>
      <c r="M31" s="233"/>
      <c r="N31" s="233"/>
      <c r="O31" s="233"/>
      <c r="P31" s="234" t="s">
        <v>80</v>
      </c>
      <c r="Q31" s="235" t="str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  <v>NoCod</v>
      </c>
      <c r="R31" s="219">
        <f t="shared" si="2"/>
      </c>
      <c r="S31" s="220">
        <f t="shared" si="3"/>
      </c>
      <c r="T31" s="220">
        <f t="shared" si="4"/>
        <v>0</v>
      </c>
      <c r="U31" s="220">
        <f t="shared" si="5"/>
        <v>0</v>
      </c>
      <c r="V31" s="236">
        <f t="shared" si="6"/>
        <v>0</v>
      </c>
      <c r="W31" s="237" t="s">
        <v>89</v>
      </c>
      <c r="X31" s="238"/>
      <c r="Y31" s="223" t="str">
        <f>IF(AND(ISNUMBER(F31),OR(A31="",A31="!!!!!!")),"!!!!!!",IF(A31="new.cod","NEWCOD",IF(AND((Z31=""),ISTEXT(A31),A31&lt;&gt;"!!!!!!"),A31,IF(Z31="","",INDEX('[1]liste reference'!$A$6:$A$1174,Z31)))))</f>
        <v>newcod</v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</c>
    </row>
    <row r="32" spans="1:26" ht="12.75">
      <c r="A32" s="224" t="s">
        <v>55</v>
      </c>
      <c r="B32" s="225"/>
      <c r="C32" s="226"/>
      <c r="D32" s="227">
        <f>IF(ISERROR(VLOOKUP($A32,'[1]liste reference'!$A$6:$B$1174,2,0)),IF(ISERROR(VLOOKUP($A32,'[1]liste reference'!$B$6:$B$1174,1,0)),"",VLOOKUP($A32,'[1]liste reference'!$B$6:$B$1174,1,0)),VLOOKUP($A32,'[1]liste reference'!$A$6:$B$1174,2,0))</f>
      </c>
      <c r="E32" s="228">
        <f>IF(D32="",,VLOOKUP(D32,D$22:D31,1,0))</f>
        <v>0</v>
      </c>
      <c r="F32" s="229">
        <f t="shared" si="0"/>
      </c>
      <c r="G32" s="230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</c>
      <c r="H32" s="231" t="str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x</v>
      </c>
      <c r="I32" s="5">
        <f t="shared" si="1"/>
      </c>
      <c r="J32" s="232" t="str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nu</v>
      </c>
      <c r="K32" s="232" t="str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nu</v>
      </c>
      <c r="L32" s="215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</c>
      <c r="M32" s="233"/>
      <c r="N32" s="233"/>
      <c r="O32" s="233"/>
      <c r="P32" s="234" t="s">
        <v>80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</c>
      <c r="R32" s="219">
        <f t="shared" si="2"/>
      </c>
      <c r="S32" s="220">
        <f t="shared" si="3"/>
      </c>
      <c r="T32" s="220">
        <f t="shared" si="4"/>
        <v>0</v>
      </c>
      <c r="U32" s="220">
        <f t="shared" si="5"/>
        <v>0</v>
      </c>
      <c r="V32" s="236">
        <f t="shared" si="6"/>
        <v>0</v>
      </c>
      <c r="W32" s="237"/>
      <c r="X32" s="238"/>
      <c r="Y32" s="223">
        <f>IF(AND(ISNUMBER(F32),OR(A32="",A32="!!!!!!")),"!!!!!!",IF(A32="new.cod","NEWCOD",IF(AND((Z32=""),ISTEXT(A32),A32&lt;&gt;"!!!!!!"),A32,IF(Z32="","",INDEX('[1]liste reference'!$A$6:$A$1174,Z32)))))</f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</c>
    </row>
    <row r="33" spans="1:26" ht="12.75">
      <c r="A33" s="224" t="s">
        <v>55</v>
      </c>
      <c r="B33" s="225"/>
      <c r="C33" s="226"/>
      <c r="D33" s="227">
        <f>IF(ISERROR(VLOOKUP($A33,'[1]liste reference'!$A$6:$B$1174,2,0)),IF(ISERROR(VLOOKUP($A33,'[1]liste reference'!$B$6:$B$1174,1,0)),"",VLOOKUP($A33,'[1]liste reference'!$B$6:$B$1174,1,0)),VLOOKUP($A33,'[1]liste reference'!$A$6:$B$1174,2,0))</f>
      </c>
      <c r="E33" s="228">
        <f>IF(D33="",,VLOOKUP(D33,D$22:D32,1,0))</f>
        <v>0</v>
      </c>
      <c r="F33" s="229">
        <f t="shared" si="0"/>
      </c>
      <c r="G33" s="230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</c>
      <c r="H33" s="231" t="str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x</v>
      </c>
      <c r="I33" s="5">
        <f t="shared" si="1"/>
      </c>
      <c r="J33" s="232" t="str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nu</v>
      </c>
      <c r="K33" s="232" t="str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nu</v>
      </c>
      <c r="L33" s="215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</c>
      <c r="M33" s="233"/>
      <c r="N33" s="233"/>
      <c r="O33" s="233"/>
      <c r="P33" s="234" t="s">
        <v>80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</c>
      <c r="R33" s="219">
        <f t="shared" si="2"/>
      </c>
      <c r="S33" s="220">
        <f t="shared" si="3"/>
      </c>
      <c r="T33" s="220">
        <f t="shared" si="4"/>
        <v>0</v>
      </c>
      <c r="U33" s="220">
        <f t="shared" si="5"/>
        <v>0</v>
      </c>
      <c r="V33" s="236">
        <f t="shared" si="6"/>
        <v>0</v>
      </c>
      <c r="W33" s="237"/>
      <c r="X33" s="238"/>
      <c r="Y33" s="223">
        <f>IF(AND(ISNUMBER(F33),OR(A33="",A33="!!!!!!")),"!!!!!!",IF(A33="new.cod","NEWCOD",IF(AND((Z33=""),ISTEXT(A33),A33&lt;&gt;"!!!!!!"),A33,IF(Z33="","",INDEX('[1]liste reference'!$A$6:$A$1174,Z33)))))</f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</c>
    </row>
    <row r="34" spans="1:26" ht="12.75">
      <c r="A34" s="224" t="s">
        <v>55</v>
      </c>
      <c r="B34" s="225"/>
      <c r="C34" s="226"/>
      <c r="D34" s="227">
        <f>IF(ISERROR(VLOOKUP($A34,'[1]liste reference'!$A$6:$B$1174,2,0)),IF(ISERROR(VLOOKUP($A34,'[1]liste reference'!$B$6:$B$1174,1,0)),"",VLOOKUP($A34,'[1]liste reference'!$B$6:$B$1174,1,0)),VLOOKUP($A34,'[1]liste reference'!$A$6:$B$1174,2,0))</f>
      </c>
      <c r="E34" s="228">
        <f>IF(D34="",,VLOOKUP(D34,D$22:D33,1,0))</f>
        <v>0</v>
      </c>
      <c r="F34" s="229">
        <f t="shared" si="0"/>
      </c>
      <c r="G34" s="230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</c>
      <c r="H34" s="231" t="str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x</v>
      </c>
      <c r="I34" s="5">
        <f t="shared" si="1"/>
      </c>
      <c r="J34" s="232" t="str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nu</v>
      </c>
      <c r="K34" s="232" t="str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nu</v>
      </c>
      <c r="L34" s="215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</c>
      <c r="M34" s="233"/>
      <c r="N34" s="233"/>
      <c r="O34" s="233"/>
      <c r="P34" s="234" t="s">
        <v>80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</c>
      <c r="R34" s="219">
        <f t="shared" si="2"/>
      </c>
      <c r="S34" s="220">
        <f t="shared" si="3"/>
      </c>
      <c r="T34" s="220">
        <f t="shared" si="4"/>
        <v>0</v>
      </c>
      <c r="U34" s="220">
        <f t="shared" si="5"/>
        <v>0</v>
      </c>
      <c r="V34" s="236">
        <f t="shared" si="6"/>
        <v>0</v>
      </c>
      <c r="W34" s="237"/>
      <c r="X34" s="238"/>
      <c r="Y34" s="223">
        <f>IF(AND(ISNUMBER(F34),OR(A34="",A34="!!!!!!")),"!!!!!!",IF(A34="new.cod","NEWCOD",IF(AND((Z34=""),ISTEXT(A34),A34&lt;&gt;"!!!!!!"),A34,IF(Z34="","",INDEX('[1]liste reference'!$A$6:$A$1174,Z34)))))</f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</c>
    </row>
    <row r="35" spans="1:26" ht="12.75">
      <c r="A35" s="224" t="s">
        <v>55</v>
      </c>
      <c r="B35" s="225"/>
      <c r="C35" s="226"/>
      <c r="D35" s="227">
        <f>IF(ISERROR(VLOOKUP($A35,'[1]liste reference'!$A$6:$B$1174,2,0)),IF(ISERROR(VLOOKUP($A35,'[1]liste reference'!$B$6:$B$1174,1,0)),"",VLOOKUP($A35,'[1]liste reference'!$B$6:$B$1174,1,0)),VLOOKUP($A35,'[1]liste reference'!$A$6:$B$1174,2,0))</f>
      </c>
      <c r="E35" s="228">
        <f>IF(D35="",,VLOOKUP(D35,D$22:D34,1,0))</f>
        <v>0</v>
      </c>
      <c r="F35" s="229">
        <f t="shared" si="0"/>
      </c>
      <c r="G35" s="230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</c>
      <c r="H35" s="231" t="str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x</v>
      </c>
      <c r="I35" s="5">
        <f t="shared" si="1"/>
      </c>
      <c r="J35" s="232" t="str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nu</v>
      </c>
      <c r="K35" s="232" t="str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nu</v>
      </c>
      <c r="L35" s="215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</c>
      <c r="M35" s="233"/>
      <c r="N35" s="233"/>
      <c r="O35" s="233"/>
      <c r="P35" s="234" t="s">
        <v>80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</c>
      <c r="R35" s="219">
        <f t="shared" si="2"/>
      </c>
      <c r="S35" s="220">
        <f t="shared" si="3"/>
      </c>
      <c r="T35" s="220">
        <f t="shared" si="4"/>
        <v>0</v>
      </c>
      <c r="U35" s="220">
        <f t="shared" si="5"/>
        <v>0</v>
      </c>
      <c r="V35" s="236">
        <f t="shared" si="6"/>
        <v>0</v>
      </c>
      <c r="W35" s="237"/>
      <c r="X35" s="238"/>
      <c r="Y35" s="223">
        <f>IF(AND(ISNUMBER(F35),OR(A35="",A35="!!!!!!")),"!!!!!!",IF(A35="new.cod","NEWCOD",IF(AND((Z35=""),ISTEXT(A35),A35&lt;&gt;"!!!!!!"),A35,IF(Z35="","",INDEX('[1]liste reference'!$A$6:$A$1174,Z35)))))</f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</c>
    </row>
    <row r="36" spans="1:26" ht="12.75">
      <c r="A36" s="224" t="s">
        <v>55</v>
      </c>
      <c r="B36" s="225"/>
      <c r="C36" s="226"/>
      <c r="D36" s="227">
        <f>IF(ISERROR(VLOOKUP($A36,'[1]liste reference'!$A$6:$B$1174,2,0)),IF(ISERROR(VLOOKUP($A36,'[1]liste reference'!$B$6:$B$1174,1,0)),"",VLOOKUP($A36,'[1]liste reference'!$B$6:$B$1174,1,0)),VLOOKUP($A36,'[1]liste reference'!$A$6:$B$1174,2,0))</f>
      </c>
      <c r="E36" s="228">
        <f>IF(D36="",,VLOOKUP(D36,D$22:D35,1,0))</f>
        <v>0</v>
      </c>
      <c r="F36" s="229">
        <f t="shared" si="0"/>
      </c>
      <c r="G36" s="230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</c>
      <c r="H36" s="231" t="str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x</v>
      </c>
      <c r="I36" s="5">
        <f t="shared" si="1"/>
      </c>
      <c r="J36" s="232" t="str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nu</v>
      </c>
      <c r="K36" s="232" t="str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nu</v>
      </c>
      <c r="L36" s="215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</c>
      <c r="M36" s="233"/>
      <c r="N36" s="233"/>
      <c r="O36" s="233"/>
      <c r="P36" s="234" t="s">
        <v>80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</c>
      <c r="R36" s="219">
        <f t="shared" si="2"/>
      </c>
      <c r="S36" s="220">
        <f t="shared" si="3"/>
      </c>
      <c r="T36" s="220">
        <f t="shared" si="4"/>
        <v>0</v>
      </c>
      <c r="U36" s="220">
        <f t="shared" si="5"/>
        <v>0</v>
      </c>
      <c r="V36" s="236">
        <f t="shared" si="6"/>
        <v>0</v>
      </c>
      <c r="W36" s="237"/>
      <c r="X36" s="238"/>
      <c r="Y36" s="223">
        <f>IF(AND(ISNUMBER(F36),OR(A36="",A36="!!!!!!")),"!!!!!!",IF(A36="new.cod","NEWCOD",IF(AND((Z36=""),ISTEXT(A36),A36&lt;&gt;"!!!!!!"),A36,IF(Z36="","",INDEX('[1]liste reference'!$A$6:$A$1174,Z36)))))</f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</c>
    </row>
    <row r="37" spans="1:26" ht="12.75">
      <c r="A37" s="224" t="s">
        <v>55</v>
      </c>
      <c r="B37" s="225"/>
      <c r="C37" s="226"/>
      <c r="D37" s="227">
        <f>IF(ISERROR(VLOOKUP($A37,'[1]liste reference'!$A$6:$B$1174,2,0)),IF(ISERROR(VLOOKUP($A37,'[1]liste reference'!$B$6:$B$1174,1,0)),"",VLOOKUP($A37,'[1]liste reference'!$B$6:$B$1174,1,0)),VLOOKUP($A37,'[1]liste reference'!$A$6:$B$1174,2,0))</f>
      </c>
      <c r="E37" s="228">
        <f>IF(D37="",,VLOOKUP(D37,D$22:D36,1,0))</f>
        <v>0</v>
      </c>
      <c r="F37" s="229">
        <f t="shared" si="0"/>
      </c>
      <c r="G37" s="230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</c>
      <c r="H37" s="231" t="str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x</v>
      </c>
      <c r="I37" s="5">
        <f t="shared" si="1"/>
      </c>
      <c r="J37" s="232" t="str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nu</v>
      </c>
      <c r="K37" s="232" t="str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nu</v>
      </c>
      <c r="L37" s="215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</c>
      <c r="M37" s="233"/>
      <c r="N37" s="233"/>
      <c r="O37" s="233"/>
      <c r="P37" s="234" t="s">
        <v>80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</c>
      <c r="R37" s="219">
        <f t="shared" si="2"/>
      </c>
      <c r="S37" s="220">
        <f t="shared" si="3"/>
      </c>
      <c r="T37" s="220">
        <f t="shared" si="4"/>
        <v>0</v>
      </c>
      <c r="U37" s="220">
        <f t="shared" si="5"/>
        <v>0</v>
      </c>
      <c r="V37" s="236">
        <f t="shared" si="6"/>
        <v>0</v>
      </c>
      <c r="W37" s="237"/>
      <c r="X37" s="238"/>
      <c r="Y37" s="223">
        <f>IF(AND(ISNUMBER(F37),OR(A37="",A37="!!!!!!")),"!!!!!!",IF(A37="new.cod","NEWCOD",IF(AND((Z37=""),ISTEXT(A37),A37&lt;&gt;"!!!!!!"),A37,IF(Z37="","",INDEX('[1]liste reference'!$A$6:$A$1174,Z37)))))</f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</c>
    </row>
    <row r="38" spans="1:26" ht="12.75">
      <c r="A38" s="224" t="s">
        <v>55</v>
      </c>
      <c r="B38" s="225"/>
      <c r="C38" s="226"/>
      <c r="D38" s="227">
        <f>IF(ISERROR(VLOOKUP($A38,'[1]liste reference'!$A$6:$B$1174,2,0)),IF(ISERROR(VLOOKUP($A38,'[1]liste reference'!$B$6:$B$1174,1,0)),"",VLOOKUP($A38,'[1]liste reference'!$B$6:$B$1174,1,0)),VLOOKUP($A38,'[1]liste reference'!$A$6:$B$1174,2,0))</f>
      </c>
      <c r="E38" s="228">
        <f>IF(D38="",,VLOOKUP(D38,D$22:D37,1,0))</f>
        <v>0</v>
      </c>
      <c r="F38" s="229">
        <f t="shared" si="0"/>
      </c>
      <c r="G38" s="230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</c>
      <c r="H38" s="231" t="str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x</v>
      </c>
      <c r="I38" s="5">
        <f t="shared" si="1"/>
      </c>
      <c r="J38" s="232" t="str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nu</v>
      </c>
      <c r="K38" s="232" t="str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nu</v>
      </c>
      <c r="L38" s="215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</c>
      <c r="M38" s="233"/>
      <c r="N38" s="233"/>
      <c r="O38" s="233"/>
      <c r="P38" s="234" t="s">
        <v>80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</c>
      <c r="R38" s="219">
        <f t="shared" si="2"/>
      </c>
      <c r="S38" s="220">
        <f t="shared" si="3"/>
      </c>
      <c r="T38" s="220">
        <f t="shared" si="4"/>
        <v>0</v>
      </c>
      <c r="U38" s="220">
        <f t="shared" si="5"/>
        <v>0</v>
      </c>
      <c r="V38" s="236">
        <f t="shared" si="6"/>
        <v>0</v>
      </c>
      <c r="W38" s="237"/>
      <c r="X38" s="238"/>
      <c r="Y38" s="223">
        <f>IF(AND(ISNUMBER(F38),OR(A38="",A38="!!!!!!")),"!!!!!!",IF(A38="new.cod","NEWCOD",IF(AND((Z38=""),ISTEXT(A38),A38&lt;&gt;"!!!!!!"),A38,IF(Z38="","",INDEX('[1]liste reference'!$A$6:$A$1174,Z38)))))</f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</c>
    </row>
    <row r="39" spans="1:26" ht="12.75">
      <c r="A39" s="224" t="s">
        <v>55</v>
      </c>
      <c r="B39" s="225"/>
      <c r="C39" s="226"/>
      <c r="D39" s="227">
        <f>IF(ISERROR(VLOOKUP($A39,'[1]liste reference'!$A$6:$B$1174,2,0)),IF(ISERROR(VLOOKUP($A39,'[1]liste reference'!$B$6:$B$1174,1,0)),"",VLOOKUP($A39,'[1]liste reference'!$B$6:$B$1174,1,0)),VLOOKUP($A39,'[1]liste reference'!$A$6:$B$1174,2,0))</f>
      </c>
      <c r="E39" s="228">
        <f>IF(D39="",,VLOOKUP(D39,D$22:D38,1,0))</f>
        <v>0</v>
      </c>
      <c r="F39" s="229">
        <f t="shared" si="0"/>
      </c>
      <c r="G39" s="230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</c>
      <c r="H39" s="231" t="str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x</v>
      </c>
      <c r="I39" s="5">
        <f t="shared" si="1"/>
      </c>
      <c r="J39" s="232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nu</v>
      </c>
      <c r="K39" s="232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nu</v>
      </c>
      <c r="L39" s="215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</c>
      <c r="M39" s="233"/>
      <c r="N39" s="233"/>
      <c r="O39" s="233"/>
      <c r="P39" s="234" t="s">
        <v>80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</c>
      <c r="R39" s="219">
        <f t="shared" si="2"/>
      </c>
      <c r="S39" s="220">
        <f t="shared" si="3"/>
      </c>
      <c r="T39" s="220">
        <f t="shared" si="4"/>
        <v>0</v>
      </c>
      <c r="U39" s="220">
        <f t="shared" si="5"/>
        <v>0</v>
      </c>
      <c r="V39" s="236">
        <f t="shared" si="6"/>
        <v>0</v>
      </c>
      <c r="W39" s="237"/>
      <c r="X39" s="238"/>
      <c r="Y39" s="223">
        <f>IF(AND(ISNUMBER(F39),OR(A39="",A39="!!!!!!")),"!!!!!!",IF(A39="new.cod","NEWCOD",IF(AND((Z39=""),ISTEXT(A39),A39&lt;&gt;"!!!!!!"),A39,IF(Z39="","",INDEX('[1]liste reference'!$A$6:$A$1174,Z39)))))</f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</c>
    </row>
    <row r="40" spans="1:26" ht="12.75">
      <c r="A40" s="224" t="s">
        <v>55</v>
      </c>
      <c r="B40" s="225"/>
      <c r="C40" s="226"/>
      <c r="D40" s="227">
        <f>IF(ISERROR(VLOOKUP($A40,'[1]liste reference'!$A$6:$B$1174,2,0)),IF(ISERROR(VLOOKUP($A40,'[1]liste reference'!$B$6:$B$1174,1,0)),"",VLOOKUP($A40,'[1]liste reference'!$B$6:$B$1174,1,0)),VLOOKUP($A40,'[1]liste reference'!$A$6:$B$1174,2,0))</f>
      </c>
      <c r="E40" s="228">
        <f>IF(D40="",,VLOOKUP(D40,D$22:D39,1,0))</f>
        <v>0</v>
      </c>
      <c r="F40" s="229">
        <f t="shared" si="0"/>
      </c>
      <c r="G40" s="230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</c>
      <c r="H40" s="231" t="str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x</v>
      </c>
      <c r="I40" s="5">
        <f t="shared" si="1"/>
      </c>
      <c r="J40" s="232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nu</v>
      </c>
      <c r="K40" s="232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nu</v>
      </c>
      <c r="L40" s="215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</c>
      <c r="M40" s="233"/>
      <c r="N40" s="233"/>
      <c r="O40" s="233"/>
      <c r="P40" s="234" t="s">
        <v>80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</c>
      <c r="R40" s="219">
        <f t="shared" si="2"/>
      </c>
      <c r="S40" s="220">
        <f t="shared" si="3"/>
      </c>
      <c r="T40" s="220">
        <f t="shared" si="4"/>
        <v>0</v>
      </c>
      <c r="U40" s="220">
        <f t="shared" si="5"/>
        <v>0</v>
      </c>
      <c r="V40" s="236">
        <f t="shared" si="6"/>
        <v>0</v>
      </c>
      <c r="W40" s="237"/>
      <c r="X40" s="238"/>
      <c r="Y40" s="223">
        <f>IF(AND(ISNUMBER(F40),OR(A40="",A40="!!!!!!")),"!!!!!!",IF(A40="new.cod","NEWCOD",IF(AND((Z40=""),ISTEXT(A40),A40&lt;&gt;"!!!!!!"),A40,IF(Z40="","",INDEX('[1]liste reference'!$A$6:$A$1174,Z40)))))</f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</c>
    </row>
    <row r="41" spans="1:26" ht="12.75">
      <c r="A41" s="224" t="s">
        <v>55</v>
      </c>
      <c r="B41" s="225"/>
      <c r="C41" s="226"/>
      <c r="D41" s="227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8">
        <f>IF(D41="",,VLOOKUP(D41,D$22:D40,1,0))</f>
        <v>0</v>
      </c>
      <c r="F41" s="229">
        <f t="shared" si="0"/>
      </c>
      <c r="G41" s="230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1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 t="shared" si="1"/>
      </c>
      <c r="J41" s="232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2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3"/>
      <c r="N41" s="233"/>
      <c r="O41" s="233"/>
      <c r="P41" s="234" t="s">
        <v>80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 t="shared" si="2"/>
      </c>
      <c r="S41" s="220">
        <f t="shared" si="3"/>
      </c>
      <c r="T41" s="220">
        <f t="shared" si="4"/>
        <v>0</v>
      </c>
      <c r="U41" s="220">
        <f t="shared" si="5"/>
        <v>0</v>
      </c>
      <c r="V41" s="236">
        <f t="shared" si="6"/>
        <v>0</v>
      </c>
      <c r="W41" s="237"/>
      <c r="X41" s="238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55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 t="shared" si="0"/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 t="shared" si="1"/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80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 t="shared" si="2"/>
      </c>
      <c r="S42" s="220">
        <f t="shared" si="3"/>
      </c>
      <c r="T42" s="220">
        <f t="shared" si="4"/>
        <v>0</v>
      </c>
      <c r="U42" s="220">
        <f t="shared" si="5"/>
        <v>0</v>
      </c>
      <c r="V42" s="236">
        <f t="shared" si="6"/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55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 t="shared" si="0"/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 t="shared" si="1"/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80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 t="shared" si="2"/>
      </c>
      <c r="S43" s="220">
        <f t="shared" si="3"/>
      </c>
      <c r="T43" s="220">
        <f t="shared" si="4"/>
        <v>0</v>
      </c>
      <c r="U43" s="220">
        <f t="shared" si="5"/>
        <v>0</v>
      </c>
      <c r="V43" s="236">
        <f t="shared" si="6"/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55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 t="shared" si="0"/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 t="shared" si="1"/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80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 t="shared" si="2"/>
      </c>
      <c r="S44" s="220">
        <f t="shared" si="3"/>
      </c>
      <c r="T44" s="220">
        <f t="shared" si="4"/>
        <v>0</v>
      </c>
      <c r="U44" s="220">
        <f t="shared" si="5"/>
        <v>0</v>
      </c>
      <c r="V44" s="236">
        <f t="shared" si="6"/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55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 t="shared" si="0"/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 t="shared" si="1"/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80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 t="shared" si="2"/>
      </c>
      <c r="S45" s="220">
        <f t="shared" si="3"/>
      </c>
      <c r="T45" s="220">
        <f t="shared" si="4"/>
        <v>0</v>
      </c>
      <c r="U45" s="220">
        <f t="shared" si="5"/>
        <v>0</v>
      </c>
      <c r="V45" s="236">
        <f t="shared" si="6"/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55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 t="shared" si="0"/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 t="shared" si="1"/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80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 t="shared" si="2"/>
      </c>
      <c r="S46" s="220">
        <f t="shared" si="3"/>
      </c>
      <c r="T46" s="220">
        <f t="shared" si="4"/>
        <v>0</v>
      </c>
      <c r="U46" s="220">
        <f t="shared" si="5"/>
        <v>0</v>
      </c>
      <c r="V46" s="236">
        <f t="shared" si="6"/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55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 t="shared" si="0"/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 t="shared" si="1"/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80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 t="shared" si="2"/>
      </c>
      <c r="S47" s="220">
        <f t="shared" si="3"/>
      </c>
      <c r="T47" s="220">
        <f t="shared" si="4"/>
        <v>0</v>
      </c>
      <c r="U47" s="220">
        <f t="shared" si="5"/>
        <v>0</v>
      </c>
      <c r="V47" s="236">
        <f t="shared" si="6"/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55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 t="shared" si="0"/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 t="shared" si="1"/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80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 t="shared" si="2"/>
      </c>
      <c r="S48" s="220">
        <f t="shared" si="3"/>
      </c>
      <c r="T48" s="220">
        <f t="shared" si="4"/>
        <v>0</v>
      </c>
      <c r="U48" s="220">
        <f t="shared" si="5"/>
        <v>0</v>
      </c>
      <c r="V48" s="236">
        <f t="shared" si="6"/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55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 t="shared" si="0"/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 t="shared" si="1"/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80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 t="shared" si="2"/>
      </c>
      <c r="S49" s="220">
        <f t="shared" si="3"/>
      </c>
      <c r="T49" s="220">
        <f t="shared" si="4"/>
        <v>0</v>
      </c>
      <c r="U49" s="220">
        <f t="shared" si="5"/>
        <v>0</v>
      </c>
      <c r="V49" s="236">
        <f t="shared" si="6"/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55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 t="shared" si="0"/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 t="shared" si="1"/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80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 t="shared" si="2"/>
      </c>
      <c r="S50" s="220">
        <f t="shared" si="3"/>
      </c>
      <c r="T50" s="220">
        <f t="shared" si="4"/>
        <v>0</v>
      </c>
      <c r="U50" s="220">
        <f t="shared" si="5"/>
        <v>0</v>
      </c>
      <c r="V50" s="236">
        <f t="shared" si="6"/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55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 t="shared" si="0"/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 t="shared" si="1"/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80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 t="shared" si="2"/>
      </c>
      <c r="S51" s="220">
        <f t="shared" si="3"/>
      </c>
      <c r="T51" s="220">
        <f t="shared" si="4"/>
        <v>0</v>
      </c>
      <c r="U51" s="220">
        <f t="shared" si="5"/>
        <v>0</v>
      </c>
      <c r="V51" s="236">
        <f t="shared" si="6"/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55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 t="shared" si="0"/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 t="shared" si="1"/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80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 t="shared" si="2"/>
      </c>
      <c r="S52" s="220">
        <f t="shared" si="3"/>
      </c>
      <c r="T52" s="220">
        <f t="shared" si="4"/>
        <v>0</v>
      </c>
      <c r="U52" s="220">
        <f t="shared" si="5"/>
        <v>0</v>
      </c>
      <c r="V52" s="236">
        <f t="shared" si="6"/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55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 t="shared" si="0"/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 t="shared" si="1"/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80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 t="shared" si="2"/>
      </c>
      <c r="S53" s="220">
        <f t="shared" si="3"/>
      </c>
      <c r="T53" s="220">
        <f t="shared" si="4"/>
        <v>0</v>
      </c>
      <c r="U53" s="220">
        <f t="shared" si="5"/>
        <v>0</v>
      </c>
      <c r="V53" s="236">
        <f t="shared" si="6"/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55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 t="shared" si="0"/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 t="shared" si="1"/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80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 t="shared" si="2"/>
      </c>
      <c r="S54" s="220">
        <f t="shared" si="3"/>
      </c>
      <c r="T54" s="220">
        <f t="shared" si="4"/>
        <v>0</v>
      </c>
      <c r="U54" s="220">
        <f t="shared" si="5"/>
        <v>0</v>
      </c>
      <c r="V54" s="236">
        <f t="shared" si="6"/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55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 t="shared" si="0"/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 t="shared" si="1"/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80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 t="shared" si="2"/>
      </c>
      <c r="S55" s="220">
        <f t="shared" si="3"/>
      </c>
      <c r="T55" s="220">
        <f t="shared" si="4"/>
        <v>0</v>
      </c>
      <c r="U55" s="220">
        <f t="shared" si="5"/>
        <v>0</v>
      </c>
      <c r="V55" s="236">
        <f t="shared" si="6"/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55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 t="shared" si="0"/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 t="shared" si="1"/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80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 t="shared" si="2"/>
      </c>
      <c r="S56" s="220">
        <f t="shared" si="3"/>
      </c>
      <c r="T56" s="220">
        <f t="shared" si="4"/>
        <v>0</v>
      </c>
      <c r="U56" s="220">
        <f t="shared" si="5"/>
        <v>0</v>
      </c>
      <c r="V56" s="236">
        <f t="shared" si="6"/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55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 t="shared" si="0"/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 t="shared" si="1"/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80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 t="shared" si="2"/>
      </c>
      <c r="S57" s="220">
        <f t="shared" si="3"/>
      </c>
      <c r="T57" s="220">
        <f t="shared" si="4"/>
        <v>0</v>
      </c>
      <c r="U57" s="220">
        <f t="shared" si="5"/>
        <v>0</v>
      </c>
      <c r="V57" s="236">
        <f t="shared" si="6"/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55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 t="shared" si="0"/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 t="shared" si="1"/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80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 t="shared" si="2"/>
      </c>
      <c r="S58" s="220">
        <f t="shared" si="3"/>
      </c>
      <c r="T58" s="220">
        <f t="shared" si="4"/>
        <v>0</v>
      </c>
      <c r="U58" s="220">
        <f t="shared" si="5"/>
        <v>0</v>
      </c>
      <c r="V58" s="236">
        <f t="shared" si="6"/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55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 t="shared" si="0"/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 t="shared" si="1"/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80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 t="shared" si="2"/>
      </c>
      <c r="S59" s="220">
        <f t="shared" si="3"/>
      </c>
      <c r="T59" s="220">
        <f t="shared" si="4"/>
        <v>0</v>
      </c>
      <c r="U59" s="220">
        <f t="shared" si="5"/>
        <v>0</v>
      </c>
      <c r="V59" s="236">
        <f t="shared" si="6"/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55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 t="shared" si="0"/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 t="shared" si="1"/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80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 t="shared" si="2"/>
      </c>
      <c r="S60" s="220">
        <f t="shared" si="3"/>
      </c>
      <c r="T60" s="220">
        <f t="shared" si="4"/>
        <v>0</v>
      </c>
      <c r="U60" s="220">
        <f t="shared" si="5"/>
        <v>0</v>
      </c>
      <c r="V60" s="236">
        <f t="shared" si="6"/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55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 t="shared" si="0"/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 t="shared" si="1"/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80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 t="shared" si="2"/>
      </c>
      <c r="S61" s="220">
        <f t="shared" si="3"/>
      </c>
      <c r="T61" s="220">
        <f t="shared" si="4"/>
        <v>0</v>
      </c>
      <c r="U61" s="220">
        <f t="shared" si="5"/>
        <v>0</v>
      </c>
      <c r="V61" s="236">
        <f t="shared" si="6"/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55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 t="shared" si="0"/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 t="shared" si="1"/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80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 t="shared" si="2"/>
      </c>
      <c r="S62" s="220">
        <f t="shared" si="3"/>
      </c>
      <c r="T62" s="220">
        <f t="shared" si="4"/>
        <v>0</v>
      </c>
      <c r="U62" s="220">
        <f t="shared" si="5"/>
        <v>0</v>
      </c>
      <c r="V62" s="236">
        <f t="shared" si="6"/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55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 t="shared" si="0"/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 t="shared" si="1"/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80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 t="shared" si="2"/>
      </c>
      <c r="S63" s="220">
        <f t="shared" si="3"/>
      </c>
      <c r="T63" s="220">
        <f t="shared" si="4"/>
        <v>0</v>
      </c>
      <c r="U63" s="220">
        <f t="shared" si="5"/>
        <v>0</v>
      </c>
      <c r="V63" s="236">
        <f t="shared" si="6"/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55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 t="shared" si="0"/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 t="shared" si="1"/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80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 t="shared" si="2"/>
      </c>
      <c r="S64" s="220">
        <f t="shared" si="3"/>
      </c>
      <c r="T64" s="220">
        <f t="shared" si="4"/>
        <v>0</v>
      </c>
      <c r="U64" s="220">
        <f t="shared" si="5"/>
        <v>0</v>
      </c>
      <c r="V64" s="236">
        <f t="shared" si="6"/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55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 t="shared" si="0"/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 t="shared" si="1"/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80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 t="shared" si="2"/>
      </c>
      <c r="S65" s="220">
        <f t="shared" si="3"/>
      </c>
      <c r="T65" s="220">
        <f t="shared" si="4"/>
        <v>0</v>
      </c>
      <c r="U65" s="220">
        <f t="shared" si="5"/>
        <v>0</v>
      </c>
      <c r="V65" s="236">
        <f t="shared" si="6"/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55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 t="shared" si="0"/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 t="shared" si="1"/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80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 t="shared" si="2"/>
      </c>
      <c r="S66" s="220">
        <f t="shared" si="3"/>
      </c>
      <c r="T66" s="220">
        <f t="shared" si="4"/>
        <v>0</v>
      </c>
      <c r="U66" s="220">
        <f t="shared" si="5"/>
        <v>0</v>
      </c>
      <c r="V66" s="236">
        <f t="shared" si="6"/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55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 t="shared" si="0"/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 t="shared" si="1"/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80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 t="shared" si="2"/>
      </c>
      <c r="S67" s="220">
        <f t="shared" si="3"/>
      </c>
      <c r="T67" s="220">
        <f t="shared" si="4"/>
        <v>0</v>
      </c>
      <c r="U67" s="220">
        <f t="shared" si="5"/>
        <v>0</v>
      </c>
      <c r="V67" s="236">
        <f t="shared" si="6"/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55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 t="shared" si="0"/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 t="shared" si="1"/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80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 t="shared" si="2"/>
      </c>
      <c r="S68" s="220">
        <f t="shared" si="3"/>
      </c>
      <c r="T68" s="220">
        <f t="shared" si="4"/>
        <v>0</v>
      </c>
      <c r="U68" s="220">
        <f t="shared" si="5"/>
        <v>0</v>
      </c>
      <c r="V68" s="236">
        <f t="shared" si="6"/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55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 t="shared" si="0"/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 t="shared" si="1"/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80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 t="shared" si="2"/>
      </c>
      <c r="S69" s="220">
        <f t="shared" si="3"/>
      </c>
      <c r="T69" s="220">
        <f t="shared" si="4"/>
        <v>0</v>
      </c>
      <c r="U69" s="220">
        <f t="shared" si="5"/>
        <v>0</v>
      </c>
      <c r="V69" s="236">
        <f t="shared" si="6"/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55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 t="shared" si="0"/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 t="shared" si="1"/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80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 t="shared" si="2"/>
      </c>
      <c r="S70" s="220">
        <f t="shared" si="3"/>
      </c>
      <c r="T70" s="220">
        <f t="shared" si="4"/>
        <v>0</v>
      </c>
      <c r="U70" s="220">
        <f t="shared" si="5"/>
        <v>0</v>
      </c>
      <c r="V70" s="236">
        <f t="shared" si="6"/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55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 t="shared" si="0"/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 t="shared" si="1"/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80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 t="shared" si="2"/>
      </c>
      <c r="S71" s="220">
        <f t="shared" si="3"/>
      </c>
      <c r="T71" s="220">
        <f t="shared" si="4"/>
        <v>0</v>
      </c>
      <c r="U71" s="220">
        <f t="shared" si="5"/>
        <v>0</v>
      </c>
      <c r="V71" s="236">
        <f t="shared" si="6"/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55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 t="shared" si="0"/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 t="shared" si="1"/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80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 t="shared" si="2"/>
      </c>
      <c r="S72" s="220">
        <f t="shared" si="3"/>
      </c>
      <c r="T72" s="220">
        <f t="shared" si="4"/>
        <v>0</v>
      </c>
      <c r="U72" s="220">
        <f t="shared" si="5"/>
        <v>0</v>
      </c>
      <c r="V72" s="236">
        <f t="shared" si="6"/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55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 t="shared" si="0"/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 t="shared" si="1"/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80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 t="shared" si="2"/>
      </c>
      <c r="S73" s="220">
        <f t="shared" si="3"/>
      </c>
      <c r="T73" s="220">
        <f t="shared" si="4"/>
        <v>0</v>
      </c>
      <c r="U73" s="220">
        <f t="shared" si="5"/>
        <v>0</v>
      </c>
      <c r="V73" s="236">
        <f t="shared" si="6"/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55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 t="shared" si="0"/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 t="shared" si="1"/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80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 t="shared" si="2"/>
      </c>
      <c r="S74" s="220">
        <f t="shared" si="3"/>
      </c>
      <c r="T74" s="220">
        <f t="shared" si="4"/>
        <v>0</v>
      </c>
      <c r="U74" s="220">
        <f t="shared" si="5"/>
        <v>0</v>
      </c>
      <c r="V74" s="236">
        <f t="shared" si="6"/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55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 t="shared" si="0"/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 t="shared" si="1"/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80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 t="shared" si="2"/>
      </c>
      <c r="S75" s="220">
        <f t="shared" si="3"/>
      </c>
      <c r="T75" s="220">
        <f t="shared" si="4"/>
        <v>0</v>
      </c>
      <c r="U75" s="220">
        <f t="shared" si="5"/>
        <v>0</v>
      </c>
      <c r="V75" s="236">
        <f t="shared" si="6"/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55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 t="shared" si="0"/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 t="shared" si="1"/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80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 t="shared" si="2"/>
      </c>
      <c r="S76" s="220">
        <f t="shared" si="3"/>
      </c>
      <c r="T76" s="220">
        <f t="shared" si="4"/>
        <v>0</v>
      </c>
      <c r="U76" s="220">
        <f t="shared" si="5"/>
        <v>0</v>
      </c>
      <c r="V76" s="236">
        <f t="shared" si="6"/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55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 t="shared" si="0"/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 t="shared" si="1"/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80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 t="shared" si="2"/>
      </c>
      <c r="S77" s="220">
        <f t="shared" si="3"/>
      </c>
      <c r="T77" s="220">
        <f t="shared" si="4"/>
        <v>0</v>
      </c>
      <c r="U77" s="220">
        <f t="shared" si="5"/>
        <v>0</v>
      </c>
      <c r="V77" s="236">
        <f t="shared" si="6"/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55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 t="shared" si="0"/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 t="shared" si="1"/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80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 t="shared" si="2"/>
      </c>
      <c r="S78" s="220">
        <f t="shared" si="3"/>
      </c>
      <c r="T78" s="220">
        <f t="shared" si="4"/>
        <v>0</v>
      </c>
      <c r="U78" s="220">
        <f t="shared" si="5"/>
        <v>0</v>
      </c>
      <c r="V78" s="236">
        <f t="shared" si="6"/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55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 t="shared" si="0"/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 t="shared" si="1"/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80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 t="shared" si="2"/>
      </c>
      <c r="S79" s="220">
        <f t="shared" si="3"/>
      </c>
      <c r="T79" s="220">
        <f t="shared" si="4"/>
        <v>0</v>
      </c>
      <c r="U79" s="220">
        <f t="shared" si="5"/>
        <v>0</v>
      </c>
      <c r="V79" s="236">
        <f t="shared" si="6"/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55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 t="shared" si="0"/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 t="shared" si="1"/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80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 t="shared" si="2"/>
      </c>
      <c r="S80" s="220">
        <f t="shared" si="3"/>
      </c>
      <c r="T80" s="220">
        <f t="shared" si="4"/>
        <v>0</v>
      </c>
      <c r="U80" s="220">
        <f t="shared" si="5"/>
        <v>0</v>
      </c>
      <c r="V80" s="236">
        <f t="shared" si="6"/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55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 t="shared" si="0"/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 t="shared" si="1"/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80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 t="shared" si="2"/>
      </c>
      <c r="S81" s="220">
        <f t="shared" si="3"/>
      </c>
      <c r="T81" s="220">
        <f t="shared" si="4"/>
        <v>0</v>
      </c>
      <c r="U81" s="220">
        <f t="shared" si="5"/>
        <v>0</v>
      </c>
      <c r="V81" s="236">
        <f t="shared" si="6"/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55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 t="shared" si="0"/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 t="shared" si="1"/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80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 t="shared" si="2"/>
      </c>
      <c r="S82" s="187">
        <f t="shared" si="3"/>
      </c>
      <c r="T82" s="187">
        <f t="shared" si="4"/>
        <v>0</v>
      </c>
      <c r="U82" s="187">
        <f t="shared" si="5"/>
        <v>0</v>
      </c>
      <c r="V82" s="254">
        <f t="shared" si="6"/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0.7519999999999997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8</v>
      </c>
      <c r="W83" s="220"/>
      <c r="X83" s="258"/>
      <c r="Y83" s="258"/>
      <c r="Z83" s="259"/>
    </row>
    <row r="84" spans="1:26" ht="12.75" hidden="1">
      <c r="A84" s="253" t="str">
        <f>A3</f>
        <v>EBRON</v>
      </c>
      <c r="B84" s="187" t="str">
        <f>C3</f>
        <v>EBRON A PREBOIS</v>
      </c>
      <c r="C84" s="260" t="str">
        <f>A4</f>
        <v>(Date)</v>
      </c>
      <c r="D84" s="261">
        <f>IF(OR(ISERROR(SUM($U$23:$U$82)/SUM($V$23:$V$82)),F7&lt;&gt;100),-1,SUM($U$23:$U$82)/SUM($V$23:$V$82))</f>
        <v>10</v>
      </c>
      <c r="E84" s="262">
        <f>O13</f>
        <v>9</v>
      </c>
      <c r="F84" s="187">
        <f>O14</f>
        <v>5</v>
      </c>
      <c r="G84" s="187">
        <f>O15</f>
        <v>3</v>
      </c>
      <c r="H84" s="187">
        <f>O16</f>
        <v>2</v>
      </c>
      <c r="I84" s="187">
        <f>O17</f>
        <v>0</v>
      </c>
      <c r="J84" s="263">
        <f>O8</f>
        <v>10.2</v>
      </c>
      <c r="K84" s="264">
        <f>O9</f>
        <v>2.4</v>
      </c>
      <c r="L84" s="265">
        <f>O10</f>
        <v>6</v>
      </c>
      <c r="M84" s="265">
        <f>O11</f>
        <v>13</v>
      </c>
      <c r="N84" s="264">
        <f>P8</f>
        <v>1.4</v>
      </c>
      <c r="O84" s="264">
        <f>P9</f>
        <v>0.4898979485566356</v>
      </c>
      <c r="P84" s="265">
        <f>P10</f>
        <v>1</v>
      </c>
      <c r="Q84" s="265">
        <f>P11</f>
        <v>2</v>
      </c>
      <c r="R84" s="265">
        <f>F21</f>
        <v>0.752</v>
      </c>
      <c r="S84" s="265">
        <f>L11</f>
        <v>0</v>
      </c>
      <c r="T84" s="265">
        <f>L12</f>
        <v>6</v>
      </c>
      <c r="U84" s="265">
        <f>L13</f>
        <v>2</v>
      </c>
      <c r="V84" s="266">
        <f>L15</f>
        <v>0</v>
      </c>
      <c r="W84" s="267">
        <f>L15</f>
        <v>0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90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91</v>
      </c>
      <c r="S87" s="5"/>
      <c r="T87" s="272">
        <f>VLOOKUP($T$91,($A$23:$U$82),20,FALSE)</f>
        <v>10</v>
      </c>
      <c r="U87" s="5"/>
      <c r="V87" s="5"/>
    </row>
    <row r="88" spans="3:22" ht="12.75" hidden="1">
      <c r="C88" s="269"/>
      <c r="D88" s="269"/>
      <c r="E88" s="269"/>
      <c r="R88" s="5" t="s">
        <v>92</v>
      </c>
      <c r="S88" s="5"/>
      <c r="T88" s="272">
        <f>VLOOKUP($T$91,($A$23:$U$82),21,FALSE)</f>
        <v>20</v>
      </c>
      <c r="U88" s="5"/>
      <c r="V88" s="5">
        <f>COUNTIF(V23:V82,T89)</f>
        <v>3</v>
      </c>
    </row>
    <row r="89" spans="3:21" ht="12.75" hidden="1">
      <c r="C89" s="269"/>
      <c r="D89" s="269"/>
      <c r="E89" s="269"/>
      <c r="R89" s="5" t="s">
        <v>93</v>
      </c>
      <c r="S89" s="5"/>
      <c r="T89" s="272">
        <f>MAX($V$23:$V$82)</f>
        <v>2</v>
      </c>
      <c r="U89" s="5"/>
    </row>
    <row r="90" spans="3:21" ht="12.75" hidden="1">
      <c r="C90" s="269"/>
      <c r="D90" s="269"/>
      <c r="E90" s="269"/>
      <c r="R90" s="5" t="s">
        <v>94</v>
      </c>
      <c r="S90" s="5" t="s">
        <v>10</v>
      </c>
      <c r="T90" s="273">
        <f>IF(OR(ISERROR(SUM($U$23:$U$82)/SUM($V$23:$V$82)),F7&lt;&gt;100),-1,(SUM($U$23:$U$82)-T88)/(SUM($V$23:$V$82)-T89))</f>
        <v>10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95</v>
      </c>
      <c r="S91" s="220"/>
      <c r="T91" s="220" t="str">
        <f>INDEX('[1]liste reference'!$A$6:$A$1174,$U$91)</f>
        <v>BANSPX</v>
      </c>
      <c r="U91" s="5">
        <f>IF(ISERROR(MATCH($T$93,'[1]liste reference'!$A$6:$A$1174,0)),MATCH($T$93,'[1]liste reference'!$B$6:$B$1174,0),(MATCH($T$93,'[1]liste reference'!$A$6:$A$1174,0)))</f>
        <v>9</v>
      </c>
      <c r="V91" s="274"/>
    </row>
    <row r="92" spans="3:21" ht="12.75" hidden="1">
      <c r="C92" s="269"/>
      <c r="D92" s="269"/>
      <c r="E92" s="269"/>
      <c r="R92" s="5" t="s">
        <v>96</v>
      </c>
      <c r="S92" s="5"/>
      <c r="T92" s="5">
        <f>MATCH(T89,$V$23:$V$82,0)</f>
        <v>1</v>
      </c>
      <c r="U92" s="5"/>
    </row>
    <row r="93" spans="3:21" ht="12.75" hidden="1">
      <c r="C93" s="269"/>
      <c r="D93" s="269"/>
      <c r="E93" s="269"/>
      <c r="R93" s="220" t="s">
        <v>97</v>
      </c>
      <c r="S93" s="5"/>
      <c r="T93" s="220" t="str">
        <f>INDEX($A$23:$A$82,$T$92)</f>
        <v>BANSPX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Laboratoire hydrobiologie SAGE</dc:creator>
  <cp:keywords/>
  <dc:description/>
  <cp:lastModifiedBy>Laboratoire hydrobiologie SAGE</cp:lastModifiedBy>
  <dcterms:created xsi:type="dcterms:W3CDTF">2016-01-25T08:52:05Z</dcterms:created>
  <dcterms:modified xsi:type="dcterms:W3CDTF">2016-01-25T08:52:08Z</dcterms:modified>
  <cp:category/>
  <cp:version/>
  <cp:contentType/>
  <cp:contentStatus/>
</cp:coreProperties>
</file>