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<sst xmlns="http://schemas.openxmlformats.org/spreadsheetml/2006/main" count="218" uniqueCount="98">
  <si>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</si>
  <si>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</si>
  <si>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</si>
  <si>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</si>
  <si>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</si>
  <si>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Herbasse</t>
  </si>
  <si>
    <t>HERBASSE A CLERIEUX</t>
  </si>
  <si>
    <t>06580890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</si>
  <si>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</si>
  <si>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</si>
  <si>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</si>
  <si>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</si>
  <si>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</si>
  <si>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</si>
  <si>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</si>
  <si>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</si>
  <si>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AMBTEN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</si>
  <si>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</si>
  <si>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</si>
  <si>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</si>
  <si>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</si>
  <si>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</si>
  <si>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</si>
  <si>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</si>
  <si>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</si>
  <si>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</si>
  <si>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</si>
  <si>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</si>
  <si>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</si>
  <si>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</si>
  <si>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</si>
  <si>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</si>
  <si>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</si>
  <si>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</si>
  <si>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</si>
  <si>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</si>
  <si>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</si>
  <si>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</si>
  <si>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</si>
  <si>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</si>
  <si>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</si>
  <si>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</si>
  <si>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</si>
  <si>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</si>
  <si>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</si>
  <si>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</si>
  <si>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</si>
  <si>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</si>
  <si>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</si>
  <si>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</si>
  <si>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</si>
  <si>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</si>
  <si>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</si>
  <si>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</si>
  <si>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</si>
  <si>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</si>
  <si>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</si>
  <si>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</si>
  <si>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</si>
  <si>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</si>
  <si>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</si>
  <si>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</si>
  <si>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</si>
  <si>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</si>
  <si>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</si>
  <si>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</si>
  <si>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</si>
  <si>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</si>
  <si>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</si>
  <si>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</si>
  <si>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</si>
  <si>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</si>
  <si>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</si>
  <si>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</si>
  <si>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</si>
  <si>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</si>
  <si>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</si>
  <si>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</si>
  <si>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NOSSPX</t>
  </si>
  <si>
    <t>OEDSPX</t>
  </si>
  <si>
    <t>PHOSPX</t>
  </si>
  <si>
    <t>VAUSPX</t>
  </si>
  <si>
    <t>FISCRA</t>
  </si>
  <si>
    <t>EQUSPX</t>
  </si>
  <si>
    <t>AGRSTO</t>
  </si>
  <si>
    <t>CARPEN</t>
  </si>
  <si>
    <t>PHAARU</t>
  </si>
  <si>
    <t>newcod</t>
  </si>
  <si>
    <t>Salix alba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</si>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</sst>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HERCL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32" sqref="W3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9.0625</v>
      </c>
      <c r="M5" s="52"/>
      <c r="N5" s="53" t="s">
        <v>16</v>
      </c>
      <c r="O5" s="54">
        <v>8.214285714285714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98</v>
      </c>
      <c r="C7" s="65">
        <v>2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9.875</v>
      </c>
      <c r="O8" s="81">
        <f>IF(ISERROR(AVERAGE(J23:J82)),"      -",AVERAGE(J23:J82))</f>
        <v>1.5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1.62</v>
      </c>
      <c r="C9" s="84">
        <v>1.35</v>
      </c>
      <c r="D9" s="85"/>
      <c r="E9" s="85"/>
      <c r="F9" s="86">
        <f aca="true" t="shared" si="0" ref="F9:F15">($B9*$B$7+$C9*$C$7)/100</f>
        <v>1.6146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3.370367190678191</v>
      </c>
      <c r="O9" s="81">
        <f>IF(ISERROR(STDEVP(J23:J82)),"      -",STDEVP(J23:J82))</f>
        <v>0.5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1.51</v>
      </c>
      <c r="C12" s="115">
        <v>1.02</v>
      </c>
      <c r="D12" s="108"/>
      <c r="E12" s="108"/>
      <c r="F12" s="109">
        <f t="shared" si="0"/>
        <v>1.5001999999999998</v>
      </c>
      <c r="G12" s="116"/>
      <c r="H12" s="66"/>
      <c r="I12" s="274" t="s">
        <v>38</v>
      </c>
      <c r="J12" s="265"/>
      <c r="K12" s="111">
        <f>COUNTIF($G$23:$G$82,"=ALG")</f>
        <v>4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0.11</v>
      </c>
      <c r="C13" s="115"/>
      <c r="D13" s="108"/>
      <c r="E13" s="108"/>
      <c r="F13" s="109">
        <f t="shared" si="0"/>
        <v>0.10779999999999999</v>
      </c>
      <c r="G13" s="116"/>
      <c r="H13" s="66"/>
      <c r="I13" s="264" t="s">
        <v>40</v>
      </c>
      <c r="J13" s="265"/>
      <c r="K13" s="111">
        <f>COUNTIF($G$23:$G$82,"=BRm")+COUNTIF($G$23:$G$82,"=BRh")</f>
        <v>2</v>
      </c>
      <c r="L13" s="112"/>
      <c r="M13" s="122" t="s">
        <v>41</v>
      </c>
      <c r="N13" s="123">
        <f>COUNTIF(F23:F82,"&gt;0")</f>
        <v>11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1</v>
      </c>
      <c r="L14" s="112"/>
      <c r="M14" s="126" t="s">
        <v>44</v>
      </c>
      <c r="N14" s="127">
        <f>COUNTIF($I$23:$I$82,"&gt;-1")</f>
        <v>8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>
        <v>0.33</v>
      </c>
      <c r="D15" s="108"/>
      <c r="E15" s="108"/>
      <c r="F15" s="109">
        <f t="shared" si="0"/>
        <v>0.0066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3</v>
      </c>
      <c r="L15" s="112"/>
      <c r="M15" s="132" t="s">
        <v>47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4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1.62</v>
      </c>
      <c r="C17" s="115">
        <v>1.02</v>
      </c>
      <c r="D17" s="108"/>
      <c r="E17" s="108"/>
      <c r="F17" s="139"/>
      <c r="G17" s="109">
        <f>($B17*$B$7+$C17*$C$7)/100</f>
        <v>1.608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0.33</v>
      </c>
      <c r="D18" s="108"/>
      <c r="E18" s="144" t="s">
        <v>53</v>
      </c>
      <c r="F18" s="139"/>
      <c r="G18" s="109">
        <f>($B18*$B$7+$C18*$C$7)/100</f>
        <v>0.0066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1.6145999999999996</v>
      </c>
      <c r="G19" s="153">
        <f>SUM(G16:G18)</f>
        <v>1.6146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1.6199999999999999</v>
      </c>
      <c r="C20" s="163">
        <f>SUM(C23:C82)</f>
        <v>1.35</v>
      </c>
      <c r="D20" s="164"/>
      <c r="E20" s="165" t="s">
        <v>53</v>
      </c>
      <c r="F20" s="166">
        <f>($B20*$B$7+$C20*$C$7)/100</f>
        <v>1.6145999999999998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1.5876</v>
      </c>
      <c r="C21" s="176">
        <f>C20*C7/100</f>
        <v>0.027000000000000003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1.6145999999999998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78</v>
      </c>
      <c r="B23" s="201">
        <v>0</v>
      </c>
      <c r="C23" s="202">
        <v>0.02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Nostoc sp.</v>
      </c>
      <c r="E23" s="203" t="e">
        <f>IF(D23="",,VLOOKUP(D23,D$22:D22,1,0))</f>
        <v>#N/A</v>
      </c>
      <c r="F23" s="204">
        <f aca="true" t="shared" si="1" ref="F23:F82">($B23*$B$7+$C23*$C$7)/100</f>
        <v>0.0004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9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Nostoc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1105</v>
      </c>
      <c r="Q23" s="211">
        <f aca="true" t="shared" si="2" ref="Q23:Q82">IF(ISTEXT(H23),"",(B23*$B$7/100)+(C23*$C$7/100))</f>
        <v>0.0004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9</v>
      </c>
      <c r="T23" s="212">
        <f aca="true" t="shared" si="5" ref="T23:T82">IF(ISERROR(R23*I23*J23),0,R23*I23*J23)</f>
        <v>9</v>
      </c>
      <c r="U23" s="212">
        <f aca="true" t="shared" si="6" ref="U23:U82">IF(ISERROR(R23*J23),0,R23*J23)</f>
        <v>1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NOSSPX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54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0.475</v>
      </c>
      <c r="C24" s="220">
        <v>0.9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21" t="e">
        <f>IF(D24="",,VLOOKUP(D24,D$22:D23,1,0))</f>
        <v>#N/A</v>
      </c>
      <c r="F24" s="222">
        <f t="shared" si="1"/>
        <v>0.48349999999999993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1">
        <f t="shared" si="2"/>
        <v>0.4835</v>
      </c>
      <c r="R24" s="212">
        <f t="shared" si="3"/>
        <v>2</v>
      </c>
      <c r="S24" s="212">
        <f t="shared" si="4"/>
        <v>12</v>
      </c>
      <c r="T24" s="212">
        <f t="shared" si="5"/>
        <v>24</v>
      </c>
      <c r="U24" s="224">
        <f t="shared" si="6"/>
        <v>4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0.01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0.0098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0.0098</v>
      </c>
      <c r="R25" s="212">
        <f t="shared" si="3"/>
        <v>1</v>
      </c>
      <c r="S25" s="212">
        <f t="shared" si="4"/>
        <v>13</v>
      </c>
      <c r="T25" s="212">
        <f t="shared" si="5"/>
        <v>26</v>
      </c>
      <c r="U25" s="224">
        <f t="shared" si="6"/>
        <v>2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1.025</v>
      </c>
      <c r="C26" s="220">
        <v>0.1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21" t="e">
        <f>IF(D26="",,VLOOKUP(D26,D$22:D25,1,0))</f>
        <v>#N/A</v>
      </c>
      <c r="F26" s="222">
        <f t="shared" si="1"/>
        <v>1.0065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11">
        <f t="shared" si="2"/>
        <v>1.0065</v>
      </c>
      <c r="R26" s="212">
        <f t="shared" si="3"/>
        <v>3</v>
      </c>
      <c r="S26" s="212">
        <f t="shared" si="4"/>
        <v>12</v>
      </c>
      <c r="T26" s="212">
        <f t="shared" si="5"/>
        <v>12</v>
      </c>
      <c r="U26" s="224">
        <f t="shared" si="6"/>
        <v>3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16"/>
      <c r="AB26" s="217"/>
      <c r="AC26" s="217"/>
      <c r="BB26" s="8">
        <f t="shared" si="8"/>
        <v>1</v>
      </c>
    </row>
    <row r="27" spans="1:54" ht="12.75">
      <c r="A27" s="218" t="s">
        <v>16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tenax</v>
      </c>
      <c r="E27" s="221" t="e">
        <f>IF(D27="",,VLOOKUP(D27,D$22:D26,1,0))</f>
        <v>#N/A</v>
      </c>
      <c r="F27" s="222">
        <f t="shared" si="1"/>
        <v>0.0098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tenax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10210</v>
      </c>
      <c r="Q27" s="211">
        <f t="shared" si="2"/>
        <v>0.0098</v>
      </c>
      <c r="R27" s="212">
        <f t="shared" si="3"/>
        <v>1</v>
      </c>
      <c r="S27" s="212">
        <f t="shared" si="4"/>
        <v>15</v>
      </c>
      <c r="T27" s="212">
        <f t="shared" si="5"/>
        <v>30</v>
      </c>
      <c r="U27" s="224">
        <f t="shared" si="6"/>
        <v>2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AMBTEN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150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82</v>
      </c>
      <c r="B28" s="219">
        <v>0.1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21" t="e">
        <f>IF(D28="",,VLOOKUP(D28,D$22:D27,1,0))</f>
        <v>#N/A</v>
      </c>
      <c r="F28" s="222">
        <f t="shared" si="1"/>
        <v>0.098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11">
        <f t="shared" si="2"/>
        <v>0.098</v>
      </c>
      <c r="R28" s="212">
        <f t="shared" si="3"/>
        <v>1</v>
      </c>
      <c r="S28" s="212">
        <f t="shared" si="4"/>
        <v>12</v>
      </c>
      <c r="T28" s="212">
        <f t="shared" si="5"/>
        <v>24</v>
      </c>
      <c r="U28" s="224">
        <f t="shared" si="6"/>
        <v>2</v>
      </c>
      <c r="V28" s="213">
        <f t="shared" si="7"/>
      </c>
      <c r="W28" s="214" t="s">
        <v>54</v>
      </c>
      <c r="Y28" s="21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83</v>
      </c>
      <c r="B29" s="219">
        <v>0</v>
      </c>
      <c r="C29" s="220">
        <v>0.01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Equisetum sp.</v>
      </c>
      <c r="E29" s="221" t="e">
        <f>IF(D29="",,VLOOKUP(D29,D$22:D28,1,0))</f>
        <v>#N/A</v>
      </c>
      <c r="F29" s="222">
        <f t="shared" si="1"/>
        <v>0.0002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PTE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6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Equisetum sp.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1383</v>
      </c>
      <c r="Q29" s="211">
        <f t="shared" si="2"/>
        <v>0.0002</v>
      </c>
      <c r="R29" s="212">
        <f t="shared" si="3"/>
        <v>1</v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54</v>
      </c>
      <c r="X29" s="214"/>
      <c r="Y29" s="215" t="str">
        <f>IF(A29="new.cod","NEWCOD",IF(AND((Z29=""),ISTEXT(A29)),A29,IF(Z29="","",INDEX('[1]liste reference'!$A$8:$A$904,Z29))))</f>
        <v>EQUSPX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283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84</v>
      </c>
      <c r="B30" s="219">
        <v>0</v>
      </c>
      <c r="C30" s="220">
        <v>0.1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Agrostis stolonifera</v>
      </c>
      <c r="E30" s="221" t="e">
        <f>IF(D30="",,VLOOKUP(D30,D$22:D29,1,0))</f>
        <v>#N/A</v>
      </c>
      <c r="F30" s="222">
        <f t="shared" si="1"/>
        <v>0.002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Agrostis stolonifera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1543</v>
      </c>
      <c r="Q30" s="211">
        <f t="shared" si="2"/>
        <v>0.002</v>
      </c>
      <c r="R30" s="212">
        <f t="shared" si="3"/>
        <v>1</v>
      </c>
      <c r="S30" s="212">
        <f t="shared" si="4"/>
        <v>10</v>
      </c>
      <c r="T30" s="212">
        <f t="shared" si="5"/>
        <v>10</v>
      </c>
      <c r="U30" s="224">
        <f t="shared" si="6"/>
        <v>1</v>
      </c>
      <c r="V30" s="213">
        <f t="shared" si="7"/>
      </c>
      <c r="W30" s="214" t="s">
        <v>54</v>
      </c>
      <c r="Y30" s="215" t="str">
        <f>IF(A30="new.cod","NEWCOD",IF(AND((Z30=""),ISTEXT(A30)),A30,IF(Z30="","",INDEX('[1]liste reference'!$A$8:$A$904,Z30))))</f>
        <v>AGRSTO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514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85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Carex pendula</v>
      </c>
      <c r="E31" s="221" t="e">
        <f>IF(D31="",,VLOOKUP(D31,D$22:D30,1,0))</f>
        <v>#N/A</v>
      </c>
      <c r="F31" s="222">
        <f t="shared" si="1"/>
        <v>0.0002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Carex pendula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1485</v>
      </c>
      <c r="Q31" s="211">
        <f t="shared" si="2"/>
        <v>0.0002</v>
      </c>
      <c r="R31" s="212">
        <f t="shared" si="3"/>
        <v>1</v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54</v>
      </c>
      <c r="Y31" s="215" t="str">
        <f>IF(A31="new.cod","NEWCOD",IF(AND((Z31=""),ISTEXT(A31)),A31,IF(Z31="","",INDEX('[1]liste reference'!$A$8:$A$904,Z31))))</f>
        <v>CARPEN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541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86</v>
      </c>
      <c r="B32" s="219">
        <v>0</v>
      </c>
      <c r="C32" s="220">
        <v>0.2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Phalaris arundinacea</v>
      </c>
      <c r="E32" s="221" t="e">
        <f>IF(D32="",,VLOOKUP(D32,D$22:D31,1,0))</f>
        <v>#N/A</v>
      </c>
      <c r="F32" s="222">
        <f t="shared" si="1"/>
        <v>0.004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Phalaris arundinacea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1577</v>
      </c>
      <c r="Q32" s="211">
        <f t="shared" si="2"/>
        <v>0.004</v>
      </c>
      <c r="R32" s="212">
        <f t="shared" si="3"/>
        <v>1</v>
      </c>
      <c r="S32" s="212">
        <f t="shared" si="4"/>
        <v>10</v>
      </c>
      <c r="T32" s="212">
        <f t="shared" si="5"/>
        <v>10</v>
      </c>
      <c r="U32" s="224">
        <f t="shared" si="6"/>
        <v>1</v>
      </c>
      <c r="V32" s="213">
        <f t="shared" si="7"/>
      </c>
      <c r="W32" s="214" t="s">
        <v>54</v>
      </c>
      <c r="Y32" s="215" t="str">
        <f>IF(A32="new.cod","NEWCOD",IF(AND((Z32=""),ISTEXT(A32)),A32,IF(Z32="","",INDEX('[1]liste reference'!$A$8:$A$904,Z32))))</f>
        <v>PHAARU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634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87</v>
      </c>
      <c r="B33" s="219">
        <v>0</v>
      </c>
      <c r="C33" s="220">
        <v>0.01</v>
      </c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0.0002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    -</v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Salix alba</v>
      </c>
      <c r="L33" s="223"/>
      <c r="M33" s="223"/>
      <c r="N33" s="223"/>
      <c r="O33" s="210"/>
      <c r="P33" s="210" t="str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No</v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54</v>
      </c>
      <c r="Y33" s="215" t="str">
        <f>IF(A33="new.cod","NEWCOD",IF(AND((Z33=""),ISTEXT(A33)),A33,IF(Z33="","",INDEX('[1]liste reference'!$A$8:$A$904,Z33))))</f>
        <v>newcod</v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 t="s">
        <v>88</v>
      </c>
      <c r="AC33" s="217"/>
      <c r="BB33" s="8">
        <f t="shared" si="8"/>
        <v>1</v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Herbasse</v>
      </c>
      <c r="B84" s="254" t="str">
        <f>C3</f>
        <v>HERBASSE A CLERIEUX</v>
      </c>
      <c r="C84" s="255">
        <f>A4</f>
        <v>41444</v>
      </c>
      <c r="D84" s="256">
        <f>IF(ISERROR(SUM($T$23:$T$82)/SUM($U$23:$U$82)),"",SUM($T$23:$T$82)/SUM($U$23:$U$82))</f>
        <v>9.0625</v>
      </c>
      <c r="E84" s="257">
        <f>N13</f>
        <v>11</v>
      </c>
      <c r="F84" s="254">
        <f>N14</f>
        <v>8</v>
      </c>
      <c r="G84" s="254">
        <f>N15</f>
        <v>4</v>
      </c>
      <c r="H84" s="254">
        <f>N16</f>
        <v>4</v>
      </c>
      <c r="I84" s="254">
        <f>N17</f>
        <v>0</v>
      </c>
      <c r="J84" s="258">
        <f>N8</f>
        <v>9.875</v>
      </c>
      <c r="K84" s="256">
        <f>N9</f>
        <v>3.370367190678191</v>
      </c>
      <c r="L84" s="257">
        <f>N10</f>
        <v>4</v>
      </c>
      <c r="M84" s="257">
        <f>N11</f>
        <v>15</v>
      </c>
      <c r="N84" s="256">
        <f>O8</f>
        <v>1.5</v>
      </c>
      <c r="O84" s="256">
        <f>O9</f>
        <v>0.5</v>
      </c>
      <c r="P84" s="257">
        <f>O10</f>
        <v>1</v>
      </c>
      <c r="Q84" s="257">
        <f>O11</f>
        <v>2</v>
      </c>
      <c r="R84" s="257">
        <f>F21</f>
        <v>1.6145999999999998</v>
      </c>
      <c r="S84" s="257">
        <f>K11</f>
        <v>0</v>
      </c>
      <c r="T84" s="257">
        <f>K12</f>
        <v>4</v>
      </c>
      <c r="U84" s="257">
        <f>K13</f>
        <v>2</v>
      </c>
      <c r="V84" s="259">
        <f>K14</f>
        <v>1</v>
      </c>
      <c r="W84" s="260">
        <f>K15</f>
        <v>3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90</v>
      </c>
      <c r="R86" s="8"/>
      <c r="S86" s="213"/>
      <c r="T86" s="8"/>
      <c r="U86" s="8"/>
      <c r="V86" s="8"/>
    </row>
    <row r="87" spans="16:22" ht="12.75" hidden="1">
      <c r="P87" s="8"/>
      <c r="Q87" s="8" t="s">
        <v>91</v>
      </c>
      <c r="R87" s="8"/>
      <c r="S87" s="213">
        <f>VLOOKUP(MAX($S$23:$S$82),($S$23:$U$82),1,0)</f>
        <v>15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13">
        <f>VLOOKUP((S87),($S$23:$U$82),2,0)</f>
        <v>30</v>
      </c>
      <c r="T88" s="8"/>
      <c r="U88" s="8"/>
      <c r="V88" s="8"/>
    </row>
    <row r="89" spans="17:20" ht="12.75" hidden="1">
      <c r="Q89" s="8" t="s">
        <v>93</v>
      </c>
      <c r="R89" s="8"/>
      <c r="S89" s="213">
        <f>VLOOKUP((S87),($S$23:$U$82),3,0)</f>
        <v>2</v>
      </c>
      <c r="T89" s="8"/>
    </row>
    <row r="90" spans="17:20" ht="12.75">
      <c r="Q90" s="8" t="s">
        <v>94</v>
      </c>
      <c r="R90" s="8"/>
      <c r="S90" s="263">
        <f>IF(ISERROR(SUM($T$23:$T$82)/SUM($U$23:$U$82)),"",(SUM($T$23:$T$82)-S88)/(SUM($U$23:$U$82)-S89))</f>
        <v>8.214285714285714</v>
      </c>
      <c r="T90" s="8"/>
    </row>
    <row r="91" spans="17:21" ht="12.75">
      <c r="Q91" s="212" t="s">
        <v>95</v>
      </c>
      <c r="R91" s="212"/>
      <c r="S91" s="212" t="str">
        <f>INDEX('[1]liste reference'!$A$8:$A$904,$T$91)</f>
        <v>AMBTEN</v>
      </c>
      <c r="T91" s="8">
        <f>IF(ISERROR(MATCH($S$93,'[1]liste reference'!$A$8:$A$904,0)),MATCH($S$93,'[1]liste reference'!$B$8:$B$904,0),(MATCH($S$93,'[1]liste reference'!$A$8:$A$904,0)))</f>
        <v>150</v>
      </c>
      <c r="U91" s="252"/>
    </row>
    <row r="92" spans="17:20" ht="12.75">
      <c r="Q92" s="8" t="s">
        <v>96</v>
      </c>
      <c r="R92" s="8"/>
      <c r="S92" s="8">
        <f>MATCH(S87,$S$23:$S$82,0)</f>
        <v>5</v>
      </c>
      <c r="T92" s="8"/>
    </row>
    <row r="93" spans="17:20" ht="12.75">
      <c r="Q93" s="212" t="s">
        <v>97</v>
      </c>
      <c r="R93" s="8"/>
      <c r="S93" s="212" t="str">
        <f>INDEX($A$23:$A$82,$S$92)</f>
        <v>AMBTEN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2013-12-04T15:54:49Z</dcterms:created>
  <dcterms:modified xsi:type="dcterms:W3CDTF">2013-12-04T15:55:52Z</dcterms:modified>
  <cp:category/>
  <cp:version/>
  <cp:contentType/>
  <cp:contentStatus/>
</cp:coreProperties>
</file>