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<sst xmlns="http://schemas.openxmlformats.org/spreadsheetml/2006/main" count="219" uniqueCount="95">
  <si>
    <t>Relevés floristiques aquatiques - IBMR</t>
  </si>
  <si>
    <t xml:space="preserve">Formulaire modèle GIS Macrophytes v 3.3 - novembre 2013  </t>
  </si>
  <si>
    <t>SAGE</t>
  </si>
  <si>
    <t>L.BOURGOIN M.SCHNEIDER</t>
  </si>
  <si>
    <t>conforme AFNOR T90-395 oct. 2003</t>
  </si>
  <si>
    <t>Dranse d'Abondance</t>
  </si>
  <si>
    <t>Dranse d'Abondance à Abondance</t>
  </si>
  <si>
    <t>06580905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</si>
  <si>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</si>
  <si>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</si>
  <si>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</si>
  <si>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</si>
  <si>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</si>
  <si>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</si>
  <si>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</si>
  <si>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</si>
  <si>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</si>
  <si>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</si>
  <si>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rapide</t>
  </si>
  <si>
    <t>plat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</si>
  <si>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</si>
  <si>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</si>
  <si>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</si>
  <si>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</si>
  <si>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</si>
  <si>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</si>
  <si>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</si>
  <si>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</si>
  <si>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</si>
  <si>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</si>
  <si>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</si>
  <si>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</si>
  <si>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</si>
  <si>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</si>
  <si>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</si>
  <si>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</si>
  <si>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</si>
  <si>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</si>
  <si>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</si>
  <si>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</si>
  <si>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</si>
  <si>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</si>
  <si>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</si>
  <si>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</si>
  <si>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</si>
  <si>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</si>
  <si>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</si>
  <si>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</si>
  <si>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</si>
  <si>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</si>
  <si>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</si>
  <si>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</si>
  <si>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</si>
  <si>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</si>
  <si>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</si>
  <si>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</si>
  <si>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</si>
  <si>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</si>
  <si>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</si>
  <si>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</si>
  <si>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</si>
  <si>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</si>
  <si>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</si>
  <si>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</si>
  <si>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</si>
  <si>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</si>
  <si>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</si>
  <si>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</si>
  <si>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</si>
  <si>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</si>
  <si>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</si>
  <si>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</si>
  <si>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</si>
  <si>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</si>
  <si>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</si>
  <si>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</si>
  <si>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</si>
  <si>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</si>
  <si>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</si>
  <si>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BANSPX</t>
  </si>
  <si>
    <t>CLASPX</t>
  </si>
  <si>
    <t>PHOSPX</t>
  </si>
  <si>
    <t>VAUSPX</t>
  </si>
  <si>
    <t>CINAQU</t>
  </si>
  <si>
    <t>FONANT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</si>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</sst>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DRABO_03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41885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11.904761904761905</v>
      </c>
      <c r="M5" s="52"/>
      <c r="N5" s="53" t="s">
        <v>16</v>
      </c>
      <c r="O5" s="54">
        <v>11.466666666666667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98</v>
      </c>
      <c r="C7" s="66">
        <v>2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10.375</v>
      </c>
      <c r="O8" s="84">
        <f>IF(ISERROR(AVERAGE(J23:J82)),"      -",AVERAGE(J23:J82))</f>
        <v>1.5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9.28</v>
      </c>
      <c r="C9" s="87">
        <v>2</v>
      </c>
      <c r="D9" s="88"/>
      <c r="E9" s="88"/>
      <c r="F9" s="89">
        <f>($B9*$B$7+$C9*$C$7)/100</f>
        <v>9.1344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3.4977671449083054</v>
      </c>
      <c r="O9" s="84">
        <f>IF(ISERROR(STDEVP(J23:J82)),"      -",STDEVP(J23:J82))</f>
        <v>0.5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15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0.08</v>
      </c>
      <c r="C12" s="120"/>
      <c r="D12" s="111"/>
      <c r="E12" s="111"/>
      <c r="F12" s="112">
        <f>($B12*$B$7+$C12*$C$7)/100</f>
        <v>0.0784</v>
      </c>
      <c r="G12" s="121"/>
      <c r="H12" s="67"/>
      <c r="I12" s="122" t="s">
        <v>39</v>
      </c>
      <c r="J12" s="123"/>
      <c r="K12" s="116">
        <f>COUNTIF($G$23:$G$82,"=ALG")</f>
        <v>4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9.2</v>
      </c>
      <c r="C13" s="120">
        <v>2</v>
      </c>
      <c r="D13" s="111"/>
      <c r="E13" s="111"/>
      <c r="F13" s="112">
        <f>($B13*$B$7+$C13*$C$7)/100</f>
        <v>9.056</v>
      </c>
      <c r="G13" s="121"/>
      <c r="H13" s="67"/>
      <c r="I13" s="129" t="s">
        <v>41</v>
      </c>
      <c r="J13" s="123"/>
      <c r="K13" s="116">
        <f>COUNTIF($G$23:$G$82,"=BRm")+COUNTIF($G$23:$G$82,"=BRh")</f>
        <v>4</v>
      </c>
      <c r="L13" s="117"/>
      <c r="M13" s="130" t="s">
        <v>42</v>
      </c>
      <c r="N13" s="131">
        <f>COUNTIF(F23:F82,"&gt;0")</f>
        <v>8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8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48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4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9.28</v>
      </c>
      <c r="C17" s="120">
        <v>2</v>
      </c>
      <c r="D17" s="111"/>
      <c r="E17" s="111"/>
      <c r="F17" s="147"/>
      <c r="G17" s="112">
        <f>($B17*$B$7+$C17*$C$7)/100</f>
        <v>9.1344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1"/>
      <c r="E18" s="152" t="s">
        <v>54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9.1344</v>
      </c>
      <c r="G19" s="161">
        <f>SUM(G16:G18)</f>
        <v>9.1344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9.280000000000001</v>
      </c>
      <c r="C20" s="171">
        <f>SUM(C23:C82)</f>
        <v>2</v>
      </c>
      <c r="D20" s="172"/>
      <c r="E20" s="173" t="s">
        <v>54</v>
      </c>
      <c r="F20" s="174">
        <f>($B20*$B$7+$C20*$C$7)/100</f>
        <v>9.134400000000001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9.0944</v>
      </c>
      <c r="C21" s="184">
        <f>C20*C7/100</f>
        <v>0.04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9.1344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0.01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Bangia sp.</v>
      </c>
      <c r="E23" s="213" t="e">
        <f>IF(D23="",,VLOOKUP(D23,D$22:D22,1,0))</f>
        <v>#N/A</v>
      </c>
      <c r="F23" s="214">
        <f aca="true" t="shared" si="0" ref="F23:F82">($B23*$B$7+$C23*$C$7)/100</f>
        <v>0.0098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10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Bangia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1153</v>
      </c>
      <c r="Q23" s="221">
        <f aca="true" t="shared" si="1" ref="Q23:Q82">IF(ISTEXT(H23),"",(B23*$B$7/100)+(C23*$C$7/100))</f>
        <v>0.0098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10</v>
      </c>
      <c r="T23" s="222">
        <f aca="true" t="shared" si="4" ref="T23:T82">IF(ISERROR(R23*I23*J23),0,R23*I23*J23)</f>
        <v>20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BANSPX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6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0.05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Cladophora sp.</v>
      </c>
      <c r="E24" s="231" t="e">
        <f>IF(D24="",,VLOOKUP(D24,D$22:D23,1,0))</f>
        <v>#N/A</v>
      </c>
      <c r="F24" s="232">
        <f t="shared" si="0"/>
        <v>0.049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Cladophora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1124</v>
      </c>
      <c r="Q24" s="221">
        <f t="shared" si="1"/>
        <v>0.049</v>
      </c>
      <c r="R24" s="222">
        <f t="shared" si="2"/>
        <v>1</v>
      </c>
      <c r="S24" s="222">
        <f t="shared" si="3"/>
        <v>6</v>
      </c>
      <c r="T24" s="222">
        <f t="shared" si="4"/>
        <v>6</v>
      </c>
      <c r="U24" s="234">
        <f t="shared" si="5"/>
        <v>1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CLASPX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23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0.01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31" t="e">
        <f>IF(D25="",,VLOOKUP(D25,D$22:D24,1,0))</f>
        <v>#N/A</v>
      </c>
      <c r="F25" s="232">
        <f t="shared" si="0"/>
        <v>0.0098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21">
        <f t="shared" si="1"/>
        <v>0.0098</v>
      </c>
      <c r="R25" s="222">
        <f t="shared" si="2"/>
        <v>1</v>
      </c>
      <c r="S25" s="222">
        <f t="shared" si="3"/>
        <v>13</v>
      </c>
      <c r="T25" s="222">
        <f t="shared" si="4"/>
        <v>26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0.01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Vaucheria sp.</v>
      </c>
      <c r="E26" s="231" t="e">
        <f>IF(D26="",,VLOOKUP(D26,D$22:D25,1,0))</f>
        <v>#N/A</v>
      </c>
      <c r="F26" s="232">
        <f t="shared" si="0"/>
        <v>0.0098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4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Vaucheria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6193</v>
      </c>
      <c r="Q26" s="221">
        <f t="shared" si="1"/>
        <v>0.0098</v>
      </c>
      <c r="R26" s="222">
        <f t="shared" si="2"/>
        <v>1</v>
      </c>
      <c r="S26" s="222">
        <f t="shared" si="3"/>
        <v>4</v>
      </c>
      <c r="T26" s="222">
        <f t="shared" si="4"/>
        <v>4</v>
      </c>
      <c r="U26" s="234">
        <f t="shared" si="5"/>
        <v>1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VAUSPX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82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83</v>
      </c>
      <c r="B27" s="229">
        <v>0.2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Cinclidotus aquaticus</v>
      </c>
      <c r="E27" s="231" t="e">
        <f>IF(D27="",,VLOOKUP(D27,D$22:D26,1,0))</f>
        <v>#N/A</v>
      </c>
      <c r="F27" s="232">
        <f t="shared" si="0"/>
        <v>0.196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15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Cinclidotus aquaticus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1318</v>
      </c>
      <c r="Q27" s="221">
        <f t="shared" si="1"/>
        <v>0.196</v>
      </c>
      <c r="R27" s="222">
        <f t="shared" si="2"/>
        <v>2</v>
      </c>
      <c r="S27" s="222">
        <f t="shared" si="3"/>
        <v>30</v>
      </c>
      <c r="T27" s="222">
        <f t="shared" si="4"/>
        <v>60</v>
      </c>
      <c r="U27" s="234">
        <f t="shared" si="5"/>
        <v>4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CINAQU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170</v>
      </c>
      <c r="AA27" s="226"/>
      <c r="AB27" s="227"/>
      <c r="AC27" s="227"/>
      <c r="BB27" s="8">
        <f t="shared" si="7"/>
        <v>1</v>
      </c>
    </row>
    <row r="28" spans="1:54" ht="12.75">
      <c r="A28" s="228" t="s">
        <v>16</v>
      </c>
      <c r="B28" s="229">
        <v>5.000000000000001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Cinclidotus riparius</v>
      </c>
      <c r="E28" s="231" t="e">
        <f>IF(D28="",,VLOOKUP(D28,D$22:D27,1,0))</f>
        <v>#N/A</v>
      </c>
      <c r="F28" s="232">
        <f t="shared" si="0"/>
        <v>4.900000000000001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13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Cinclidotus riparius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1321</v>
      </c>
      <c r="Q28" s="221">
        <f t="shared" si="1"/>
        <v>4.900000000000001</v>
      </c>
      <c r="R28" s="222">
        <f t="shared" si="2"/>
        <v>3</v>
      </c>
      <c r="S28" s="222">
        <f t="shared" si="3"/>
        <v>39</v>
      </c>
      <c r="T28" s="222">
        <f t="shared" si="4"/>
        <v>78</v>
      </c>
      <c r="U28" s="234">
        <f t="shared" si="5"/>
        <v>6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CINRIP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174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84</v>
      </c>
      <c r="B29" s="229">
        <v>0.5</v>
      </c>
      <c r="C29" s="230">
        <v>1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Fontinalis antipyretica</v>
      </c>
      <c r="E29" s="231" t="e">
        <f>IF(D29="",,VLOOKUP(D29,D$22:D28,1,0))</f>
        <v>#N/A</v>
      </c>
      <c r="F29" s="232">
        <f t="shared" si="0"/>
        <v>0.51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Fontinalis antipyretica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1310</v>
      </c>
      <c r="Q29" s="221">
        <f t="shared" si="1"/>
        <v>0.51</v>
      </c>
      <c r="R29" s="222">
        <f t="shared" si="2"/>
        <v>2</v>
      </c>
      <c r="S29" s="222">
        <f t="shared" si="3"/>
        <v>20</v>
      </c>
      <c r="T29" s="222">
        <f t="shared" si="4"/>
        <v>20</v>
      </c>
      <c r="U29" s="234">
        <f t="shared" si="5"/>
        <v>2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FONANT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210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85</v>
      </c>
      <c r="B30" s="229">
        <v>3.4999999999999996</v>
      </c>
      <c r="C30" s="230">
        <v>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Rhynchostegium riparioides</v>
      </c>
      <c r="E30" s="231" t="e">
        <f>IF(D30="",,VLOOKUP(D30,D$22:D29,1,0))</f>
        <v>#N/A</v>
      </c>
      <c r="F30" s="232">
        <f t="shared" si="0"/>
        <v>3.4499999999999993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Rhynchostegium riparioides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1268</v>
      </c>
      <c r="Q30" s="221">
        <f t="shared" si="1"/>
        <v>3.4499999999999993</v>
      </c>
      <c r="R30" s="222">
        <f t="shared" si="2"/>
        <v>3</v>
      </c>
      <c r="S30" s="222">
        <f t="shared" si="3"/>
        <v>36</v>
      </c>
      <c r="T30" s="222">
        <f t="shared" si="4"/>
        <v>36</v>
      </c>
      <c r="U30" s="234">
        <f t="shared" si="5"/>
        <v>3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RHYRIP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252</v>
      </c>
      <c r="AA30" s="226"/>
      <c r="AB30" s="227"/>
      <c r="AC30" s="227"/>
      <c r="BB30" s="8">
        <f t="shared" si="7"/>
        <v>1</v>
      </c>
    </row>
    <row r="31" spans="1:54" ht="12.75">
      <c r="A31" s="228" t="s">
        <v>55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55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86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Dranse d'Abondance</v>
      </c>
      <c r="B84" s="265" t="str">
        <f>C3</f>
        <v>Dranse d'Abondance à Abondance</v>
      </c>
      <c r="C84" s="266">
        <f>A4</f>
        <v>41885</v>
      </c>
      <c r="D84" s="267">
        <f>IF(ISERROR(SUM($T$23:$T$82)/SUM($U$23:$U$82)),"",SUM($T$23:$T$82)/SUM($U$23:$U$82))</f>
        <v>11.904761904761905</v>
      </c>
      <c r="E84" s="268">
        <f>N13</f>
        <v>8</v>
      </c>
      <c r="F84" s="265">
        <f>N14</f>
        <v>8</v>
      </c>
      <c r="G84" s="265">
        <f>N15</f>
        <v>4</v>
      </c>
      <c r="H84" s="265">
        <f>N16</f>
        <v>4</v>
      </c>
      <c r="I84" s="265">
        <f>N17</f>
        <v>0</v>
      </c>
      <c r="J84" s="269">
        <f>N8</f>
        <v>10.375</v>
      </c>
      <c r="K84" s="267">
        <f>N9</f>
        <v>3.4977671449083054</v>
      </c>
      <c r="L84" s="268">
        <f>N10</f>
        <v>4</v>
      </c>
      <c r="M84" s="268">
        <f>N11</f>
        <v>15</v>
      </c>
      <c r="N84" s="267">
        <f>O8</f>
        <v>1.5</v>
      </c>
      <c r="O84" s="267">
        <f>O9</f>
        <v>0.5</v>
      </c>
      <c r="P84" s="268">
        <f>O10</f>
        <v>1</v>
      </c>
      <c r="Q84" s="268">
        <f>O11</f>
        <v>2</v>
      </c>
      <c r="R84" s="268">
        <f>F21</f>
        <v>9.1344</v>
      </c>
      <c r="S84" s="268">
        <f>K11</f>
        <v>0</v>
      </c>
      <c r="T84" s="268">
        <f>K12</f>
        <v>4</v>
      </c>
      <c r="U84" s="268">
        <f>K13</f>
        <v>4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87</v>
      </c>
      <c r="R86" s="8"/>
      <c r="S86" s="223"/>
      <c r="T86" s="8"/>
      <c r="U86" s="8"/>
      <c r="V86" s="8"/>
    </row>
    <row r="87" spans="16:22" ht="12.75" hidden="1">
      <c r="P87" s="8"/>
      <c r="Q87" s="8" t="s">
        <v>88</v>
      </c>
      <c r="R87" s="8"/>
      <c r="S87" s="223">
        <f>VLOOKUP(MAX($S$23:$S$82),($S$23:$U$82),1,0)</f>
        <v>39</v>
      </c>
      <c r="T87" s="8"/>
      <c r="U87" s="8"/>
      <c r="V87" s="8"/>
    </row>
    <row r="88" spans="16:22" ht="12.75" hidden="1">
      <c r="P88" s="8"/>
      <c r="Q88" s="8" t="s">
        <v>89</v>
      </c>
      <c r="R88" s="8"/>
      <c r="S88" s="223">
        <f>VLOOKUP((S87),($S$23:$U$82),2,0)</f>
        <v>78</v>
      </c>
      <c r="T88" s="8"/>
      <c r="U88" s="8"/>
      <c r="V88" s="8"/>
    </row>
    <row r="89" spans="17:20" ht="12.75" hidden="1">
      <c r="Q89" s="8" t="s">
        <v>90</v>
      </c>
      <c r="R89" s="8"/>
      <c r="S89" s="223">
        <f>VLOOKUP((S87),($S$23:$U$82),3,0)</f>
        <v>6</v>
      </c>
      <c r="T89" s="8"/>
    </row>
    <row r="90" spans="17:20" ht="12.75">
      <c r="Q90" s="8" t="s">
        <v>91</v>
      </c>
      <c r="R90" s="8"/>
      <c r="S90" s="274">
        <f>IF(ISERROR(SUM($T$23:$T$82)/SUM($U$23:$U$82)),"",(SUM($T$23:$T$82)-S88)/(SUM($U$23:$U$82)-S89))</f>
        <v>11.466666666666667</v>
      </c>
      <c r="T90" s="8"/>
    </row>
    <row r="91" spans="17:21" ht="12.75">
      <c r="Q91" s="222" t="s">
        <v>92</v>
      </c>
      <c r="R91" s="222"/>
      <c r="S91" s="222" t="str">
        <f>INDEX('[1]liste reference'!$A$8:$A$904,$T$91)</f>
        <v>CINRIP</v>
      </c>
      <c r="T91" s="8">
        <f>IF(ISERROR(MATCH($S$93,'[1]liste reference'!$A$8:$A$904,0)),MATCH($S$93,'[1]liste reference'!$B$8:$B$904,0),(MATCH($S$93,'[1]liste reference'!$A$8:$A$904,0)))</f>
        <v>174</v>
      </c>
      <c r="U91" s="263"/>
    </row>
    <row r="92" spans="17:20" ht="12.75">
      <c r="Q92" s="8" t="s">
        <v>93</v>
      </c>
      <c r="R92" s="8"/>
      <c r="S92" s="8">
        <f>MATCH(S87,$S$23:$S$82,0)</f>
        <v>6</v>
      </c>
      <c r="T92" s="8"/>
    </row>
    <row r="93" spans="17:20" ht="12.75">
      <c r="Q93" s="222" t="s">
        <v>94</v>
      </c>
      <c r="R93" s="8"/>
      <c r="S93" s="222" t="str">
        <f>INDEX($A$23:$A$82,$S$92)</f>
        <v>CINRIP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2015-03-16T12:34:42Z</dcterms:created>
  <dcterms:modified xsi:type="dcterms:W3CDTF">2015-03-16T12:34:50Z</dcterms:modified>
  <cp:category/>
  <cp:version/>
  <cp:contentType/>
  <cp:contentStatus/>
</cp:coreProperties>
</file>