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<sst xmlns="http://schemas.openxmlformats.org/spreadsheetml/2006/main" count="216" uniqueCount="86">
  <si>
    <t>Relevés floristiques aquatiques - IBMR</t>
  </si>
  <si>
    <t xml:space="preserve">Formulaire modèle GIS Macrophytes v 3.3 - novembre 2013  </t>
  </si>
  <si>
    <t>SAGE ENVIRONNEMENT</t>
  </si>
  <si>
    <t>MGAUTHIER LISEBE</t>
  </si>
  <si>
    <t>conforme AFNOR T90-395 oct. 2003</t>
  </si>
  <si>
    <t>VANNE</t>
  </si>
  <si>
    <t>VANNE A SAINT BAUDILLET PIPET</t>
  </si>
  <si>
    <t>06820180</t>
  </si>
  <si>
    <t>AERMC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</si>
  <si>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</si>
  <si>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</si>
  <si>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</si>
  <si>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</si>
  <si>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</si>
  <si>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</si>
  <si>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</si>
  <si>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</si>
  <si>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plat courant</t>
  </si>
  <si>
    <t>niv. trophique:</t>
  </si>
  <si>
    <t>très élevé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</si>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</sst>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9" borderId="24" xfId="0" applyNumberFormat="1" applyFont="1" applyFill="1" applyBorder="1" applyAlignment="1" applyProtection="1">
      <alignment horizontal="left" vertical="top"/>
      <protection hidden="1"/>
    </xf>
    <xf numFmtId="2" fontId="0" fillId="39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9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VABAU_26-08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43" sqref="L4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41877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/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10</v>
      </c>
      <c r="B5" s="43" t="s">
        <v>11</v>
      </c>
      <c r="C5" s="44" t="s">
        <v>12</v>
      </c>
      <c r="D5" s="45"/>
      <c r="E5" s="45"/>
      <c r="F5" s="46" t="s">
        <v>13</v>
      </c>
      <c r="G5" s="47"/>
      <c r="H5" s="45"/>
      <c r="I5" s="48"/>
      <c r="J5" s="49"/>
      <c r="K5" s="50" t="s">
        <v>14</v>
      </c>
      <c r="L5" s="51">
        <v>6</v>
      </c>
      <c r="M5" s="52"/>
      <c r="N5" s="53"/>
      <c r="O5" s="54"/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15</v>
      </c>
      <c r="B6" s="56" t="s">
        <v>16</v>
      </c>
      <c r="C6" s="56" t="s">
        <v>17</v>
      </c>
      <c r="D6" s="45"/>
      <c r="E6" s="45"/>
      <c r="F6" s="46"/>
      <c r="G6" s="47"/>
      <c r="H6" s="45"/>
      <c r="I6" s="57" t="s">
        <v>18</v>
      </c>
      <c r="J6" s="58"/>
      <c r="K6" s="59"/>
      <c r="L6" s="60" t="s">
        <v>19</v>
      </c>
      <c r="M6" s="61"/>
      <c r="N6" s="62"/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20</v>
      </c>
      <c r="B7" s="65">
        <v>99</v>
      </c>
      <c r="C7" s="66">
        <v>1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21</v>
      </c>
      <c r="O7" s="76" t="s">
        <v>22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23</v>
      </c>
      <c r="B8" s="79"/>
      <c r="C8" s="79"/>
      <c r="D8" s="67"/>
      <c r="E8" s="67"/>
      <c r="F8" s="80" t="s">
        <v>24</v>
      </c>
      <c r="G8" s="81"/>
      <c r="H8" s="82"/>
      <c r="I8" s="70"/>
      <c r="J8" s="71"/>
      <c r="K8" s="72"/>
      <c r="L8" s="73"/>
      <c r="M8" s="83" t="s">
        <v>25</v>
      </c>
      <c r="N8" s="84">
        <f>IF(ISERROR(AVERAGE(I23:I82)),"     -",AVERAGE(I23:I82))</f>
        <v>6</v>
      </c>
      <c r="O8" s="84">
        <f>IF(ISERROR(AVERAGE(J23:J82)),"      -",AVERAGE(J23:J82))</f>
        <v>1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26</v>
      </c>
      <c r="B9" s="86">
        <v>0.01</v>
      </c>
      <c r="C9" s="87">
        <v>0</v>
      </c>
      <c r="D9" s="88"/>
      <c r="E9" s="88"/>
      <c r="F9" s="89">
        <f>($B9*$B$7+$C9*$C$7)/100</f>
        <v>0.009899999999999999</v>
      </c>
      <c r="G9" s="90"/>
      <c r="H9" s="91"/>
      <c r="I9" s="92"/>
      <c r="J9" s="93"/>
      <c r="K9" s="72"/>
      <c r="L9" s="94"/>
      <c r="M9" s="83" t="s">
        <v>27</v>
      </c>
      <c r="N9" s="84">
        <f>IF(ISERROR(STDEVP(I23:I82)),"     -",STDEVP(I23:I82))</f>
        <v>0</v>
      </c>
      <c r="O9" s="84">
        <f>IF(ISERROR(STDEVP(J23:J82)),"      -",STDEVP(J23:J82))</f>
        <v>0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28</v>
      </c>
      <c r="B10" s="98" t="s">
        <v>29</v>
      </c>
      <c r="C10" s="99" t="s">
        <v>29</v>
      </c>
      <c r="D10" s="100"/>
      <c r="E10" s="100"/>
      <c r="F10" s="89"/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32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6</v>
      </c>
      <c r="O11" s="106">
        <f>MAX(J23:J82)</f>
        <v>1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35</v>
      </c>
      <c r="B12" s="119">
        <v>0.01</v>
      </c>
      <c r="C12" s="120"/>
      <c r="D12" s="111"/>
      <c r="E12" s="111"/>
      <c r="F12" s="112">
        <f>($B12*$B$7+$C12*$C$7)/100</f>
        <v>0.009899999999999999</v>
      </c>
      <c r="G12" s="121"/>
      <c r="H12" s="67"/>
      <c r="I12" s="122" t="s">
        <v>36</v>
      </c>
      <c r="J12" s="123"/>
      <c r="K12" s="116">
        <f>COUNTIF($G$23:$G$82,"=ALG")</f>
        <v>1</v>
      </c>
      <c r="L12" s="124"/>
      <c r="M12" s="125"/>
      <c r="N12" s="126" t="s">
        <v>30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37</v>
      </c>
      <c r="B13" s="119"/>
      <c r="C13" s="120"/>
      <c r="D13" s="111"/>
      <c r="E13" s="111"/>
      <c r="F13" s="112">
        <f>($B13*$B$7+$C13*$C$7)/100</f>
        <v>0</v>
      </c>
      <c r="G13" s="121"/>
      <c r="H13" s="67"/>
      <c r="I13" s="129" t="s">
        <v>38</v>
      </c>
      <c r="J13" s="123"/>
      <c r="K13" s="116">
        <f>COUNTIF($G$23:$G$82,"=BRm")+COUNTIF($G$23:$G$82,"=BRh")</f>
        <v>0</v>
      </c>
      <c r="L13" s="117"/>
      <c r="M13" s="130" t="s">
        <v>39</v>
      </c>
      <c r="N13" s="131">
        <f>COUNTIF(F23:F82,"&gt;0")</f>
        <v>1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40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41</v>
      </c>
      <c r="J14" s="123"/>
      <c r="K14" s="116">
        <f>COUNTIF($G$23:$G$82,"=PTE")+COUNTIF($G$23:$G$82,"=LIC")</f>
        <v>0</v>
      </c>
      <c r="L14" s="117"/>
      <c r="M14" s="134" t="s">
        <v>42</v>
      </c>
      <c r="N14" s="135">
        <f>COUNTIF($I$23:$I$82,"&gt;-1")</f>
        <v>1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43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44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45</v>
      </c>
      <c r="N15" s="141">
        <f>COUNTIF(J23:J82,"=1")</f>
        <v>1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46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47</v>
      </c>
      <c r="N16" s="141">
        <f>COUNTIF(J23:J82,"=2")</f>
        <v>0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48</v>
      </c>
      <c r="B17" s="119">
        <v>0.01</v>
      </c>
      <c r="C17" s="120"/>
      <c r="D17" s="111"/>
      <c r="E17" s="111"/>
      <c r="F17" s="147"/>
      <c r="G17" s="112">
        <f>($B17*$B$7+$C17*$C$7)/100</f>
        <v>0.009899999999999999</v>
      </c>
      <c r="H17" s="67"/>
      <c r="I17" s="129"/>
      <c r="J17" s="123"/>
      <c r="K17" s="146"/>
      <c r="L17" s="117"/>
      <c r="M17" s="140" t="s">
        <v>49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50</v>
      </c>
      <c r="B18" s="150"/>
      <c r="C18" s="151"/>
      <c r="D18" s="111"/>
      <c r="E18" s="152" t="s">
        <v>51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52</v>
      </c>
      <c r="W18" s="155" t="s">
        <v>52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0.009899999999999999</v>
      </c>
      <c r="G19" s="161">
        <f>SUM(G16:G18)</f>
        <v>0.009899999999999999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52</v>
      </c>
      <c r="W19" s="155" t="s">
        <v>52</v>
      </c>
    </row>
    <row r="20" spans="1:23" ht="12.75">
      <c r="A20" s="169" t="s">
        <v>53</v>
      </c>
      <c r="B20" s="170">
        <f>SUM(B23:B82)</f>
        <v>0.01</v>
      </c>
      <c r="C20" s="171">
        <f>SUM(C23:C82)</f>
        <v>0</v>
      </c>
      <c r="D20" s="172"/>
      <c r="E20" s="173" t="s">
        <v>51</v>
      </c>
      <c r="F20" s="174">
        <f>($B20*$B$7+$C20*$C$7)/100</f>
        <v>0.009899999999999999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54</v>
      </c>
      <c r="R20" s="8"/>
      <c r="S20" s="8"/>
      <c r="T20" s="8"/>
      <c r="U20" s="8"/>
      <c r="V20" s="8" t="s">
        <v>52</v>
      </c>
      <c r="W20" s="155" t="s">
        <v>52</v>
      </c>
    </row>
    <row r="21" spans="1:23" ht="12.75">
      <c r="A21" s="183" t="s">
        <v>55</v>
      </c>
      <c r="B21" s="184">
        <f>B20*B7/100</f>
        <v>0.009899999999999999</v>
      </c>
      <c r="C21" s="184">
        <f>C20*C7/100</f>
        <v>0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0.009899999999999999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56</v>
      </c>
      <c r="R21" s="8"/>
      <c r="S21" s="8"/>
      <c r="T21" s="8"/>
      <c r="U21" s="8"/>
      <c r="V21" s="8" t="s">
        <v>52</v>
      </c>
      <c r="W21" s="155" t="s">
        <v>52</v>
      </c>
    </row>
    <row r="22" spans="1:29" ht="12.75">
      <c r="A22" s="194" t="s">
        <v>57</v>
      </c>
      <c r="B22" s="195" t="s">
        <v>58</v>
      </c>
      <c r="C22" s="196" t="s">
        <v>58</v>
      </c>
      <c r="D22" s="143"/>
      <c r="E22" s="143"/>
      <c r="F22" s="197" t="s">
        <v>59</v>
      </c>
      <c r="G22" s="198" t="s">
        <v>60</v>
      </c>
      <c r="H22" s="143"/>
      <c r="I22" s="199" t="s">
        <v>61</v>
      </c>
      <c r="J22" s="199" t="s">
        <v>62</v>
      </c>
      <c r="K22" s="200" t="s">
        <v>63</v>
      </c>
      <c r="L22" s="200"/>
      <c r="M22" s="200"/>
      <c r="N22" s="200"/>
      <c r="O22" s="201"/>
      <c r="P22" s="202" t="s">
        <v>64</v>
      </c>
      <c r="Q22" s="203" t="s">
        <v>65</v>
      </c>
      <c r="R22" s="204" t="s">
        <v>66</v>
      </c>
      <c r="S22" s="205" t="s">
        <v>67</v>
      </c>
      <c r="T22" s="206" t="s">
        <v>68</v>
      </c>
      <c r="U22" s="207" t="s">
        <v>69</v>
      </c>
      <c r="V22" s="205" t="s">
        <v>70</v>
      </c>
      <c r="Y22" s="8" t="s">
        <v>71</v>
      </c>
      <c r="Z22" s="8" t="s">
        <v>72</v>
      </c>
      <c r="AA22" s="208" t="s">
        <v>73</v>
      </c>
      <c r="AB22" s="208" t="s">
        <v>74</v>
      </c>
      <c r="AC22" s="209" t="s">
        <v>75</v>
      </c>
    </row>
    <row r="23" spans="1:54" ht="12.75">
      <c r="A23" s="210" t="s">
        <v>76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0.009899999999999999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0.009899999999999999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52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52</v>
      </c>
      <c r="B24" s="229"/>
      <c r="C24" s="230"/>
      <c r="D24" s="213">
        <f>IF(ISERROR(VLOOKUP($A24,'[1]liste reference'!$A$7:$D$904,2,0)),IF(ISERROR(VLOOKUP($A24,'[1]liste reference'!$B$7:$D$904,1,0)),"",VLOOKUP($A24,'[1]liste reference'!$B$7:$D$904,1,0)),VLOOKUP($A24,'[1]liste reference'!$A$7:$D$904,2,0))</f>
      </c>
      <c r="E24" s="231">
        <f>IF(D24="",,VLOOKUP(D24,D$22:D23,1,0))</f>
        <v>0</v>
      </c>
      <c r="F24" s="232">
        <f t="shared" si="0"/>
        <v>0</v>
      </c>
      <c r="G24" s="215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</c>
      <c r="H24" s="216" t="str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x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</c>
      <c r="K24" s="218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</c>
      <c r="Q24" s="221">
        <f t="shared" si="1"/>
      </c>
      <c r="R24" s="222">
        <f t="shared" si="2"/>
      </c>
      <c r="S24" s="222">
        <f t="shared" si="3"/>
        <v>0</v>
      </c>
      <c r="T24" s="222">
        <f t="shared" si="4"/>
        <v>0</v>
      </c>
      <c r="U24" s="234">
        <f t="shared" si="5"/>
        <v>0</v>
      </c>
      <c r="V24" s="223">
        <f t="shared" si="6"/>
      </c>
      <c r="W24" s="224" t="s">
        <v>52</v>
      </c>
      <c r="Y24" s="225">
        <f>IF(A24="new.cod","NEWCOD",IF(AND((Z24=""),ISTEXT(A24)),A24,IF(Z24="","",INDEX('[1]liste reference'!$A$8:$A$904,Z24))))</f>
      </c>
      <c r="Z24" s="8">
        <f>IF(ISERROR(MATCH(A24,'[1]liste reference'!$A$8:$A$904,0)),IF(ISERROR(MATCH(A24,'[1]liste reference'!$B$8:$B$904,0)),"",(MATCH(A24,'[1]liste reference'!$B$8:$B$904,0))),(MATCH(A24,'[1]liste reference'!$A$8:$A$904,0)))</f>
      </c>
      <c r="AA24" s="226"/>
      <c r="AB24" s="227"/>
      <c r="AC24" s="227"/>
      <c r="BB24" s="8">
        <f t="shared" si="7"/>
      </c>
    </row>
    <row r="25" spans="1:54" ht="12.75">
      <c r="A25" s="228" t="s">
        <v>52</v>
      </c>
      <c r="B25" s="229"/>
      <c r="C25" s="230"/>
      <c r="D25" s="213">
        <f>IF(ISERROR(VLOOKUP($A25,'[1]liste reference'!$A$7:$D$904,2,0)),IF(ISERROR(VLOOKUP($A25,'[1]liste reference'!$B$7:$D$904,1,0)),"",VLOOKUP($A25,'[1]liste reference'!$B$7:$D$904,1,0)),VLOOKUP($A25,'[1]liste reference'!$A$7:$D$904,2,0))</f>
      </c>
      <c r="E25" s="231">
        <f>IF(D25="",,VLOOKUP(D25,D$22:D24,1,0))</f>
        <v>0</v>
      </c>
      <c r="F25" s="232">
        <f t="shared" si="0"/>
        <v>0</v>
      </c>
      <c r="G25" s="215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</c>
      <c r="H25" s="216" t="str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x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8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</c>
      <c r="Q25" s="221">
        <f t="shared" si="1"/>
      </c>
      <c r="R25" s="222">
        <f t="shared" si="2"/>
      </c>
      <c r="S25" s="222">
        <f t="shared" si="3"/>
        <v>0</v>
      </c>
      <c r="T25" s="222">
        <f t="shared" si="4"/>
        <v>0</v>
      </c>
      <c r="U25" s="234">
        <f t="shared" si="5"/>
        <v>0</v>
      </c>
      <c r="V25" s="223">
        <f t="shared" si="6"/>
      </c>
      <c r="W25" s="224" t="s">
        <v>52</v>
      </c>
      <c r="Y25" s="225">
        <f>IF(A25="new.cod","NEWCOD",IF(AND((Z25=""),ISTEXT(A25)),A25,IF(Z25="","",INDEX('[1]liste reference'!$A$8:$A$904,Z25))))</f>
      </c>
      <c r="Z25" s="8">
        <f>IF(ISERROR(MATCH(A25,'[1]liste reference'!$A$8:$A$904,0)),IF(ISERROR(MATCH(A25,'[1]liste reference'!$B$8:$B$904,0)),"",(MATCH(A25,'[1]liste reference'!$B$8:$B$904,0))),(MATCH(A25,'[1]liste reference'!$A$8:$A$904,0)))</f>
      </c>
      <c r="AA25" s="226"/>
      <c r="AB25" s="227"/>
      <c r="AC25" s="227"/>
      <c r="BB25" s="8">
        <f t="shared" si="7"/>
      </c>
    </row>
    <row r="26" spans="1:54" ht="12.75">
      <c r="A26" s="228" t="s">
        <v>52</v>
      </c>
      <c r="B26" s="229"/>
      <c r="C26" s="230"/>
      <c r="D26" s="213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31">
        <f>IF(D26="",,VLOOKUP(D26,D$22:D25,1,0))</f>
        <v>0</v>
      </c>
      <c r="F26" s="232">
        <f t="shared" si="0"/>
        <v>0</v>
      </c>
      <c r="G26" s="215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16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21">
        <f t="shared" si="1"/>
      </c>
      <c r="R26" s="222">
        <f t="shared" si="2"/>
      </c>
      <c r="S26" s="222">
        <f t="shared" si="3"/>
        <v>0</v>
      </c>
      <c r="T26" s="222">
        <f t="shared" si="4"/>
        <v>0</v>
      </c>
      <c r="U26" s="234">
        <f t="shared" si="5"/>
        <v>0</v>
      </c>
      <c r="V26" s="223">
        <f t="shared" si="6"/>
      </c>
      <c r="W26" s="224" t="s">
        <v>52</v>
      </c>
      <c r="Y26" s="225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26"/>
      <c r="AB26" s="227"/>
      <c r="AC26" s="227"/>
      <c r="BB26" s="8">
        <f t="shared" si="7"/>
      </c>
    </row>
    <row r="27" spans="1:54" ht="12.75">
      <c r="A27" s="228" t="s">
        <v>52</v>
      </c>
      <c r="B27" s="229"/>
      <c r="C27" s="230"/>
      <c r="D27" s="213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31">
        <f>IF(D27="",,VLOOKUP(D27,D$22:D26,1,0))</f>
        <v>0</v>
      </c>
      <c r="F27" s="232">
        <f t="shared" si="0"/>
        <v>0</v>
      </c>
      <c r="G27" s="215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1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21">
        <f t="shared" si="1"/>
      </c>
      <c r="R27" s="222">
        <f t="shared" si="2"/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52</v>
      </c>
      <c r="Y27" s="225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26"/>
      <c r="AB27" s="227"/>
      <c r="AC27" s="227"/>
      <c r="BB27" s="8">
        <f t="shared" si="7"/>
      </c>
    </row>
    <row r="28" spans="1:54" ht="12.75">
      <c r="A28" s="228" t="s">
        <v>52</v>
      </c>
      <c r="B28" s="229"/>
      <c r="C28" s="230"/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0"/>
        <v>0</v>
      </c>
      <c r="G28" s="21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1">
        <f t="shared" si="1"/>
      </c>
      <c r="R28" s="222">
        <f t="shared" si="2"/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52</v>
      </c>
      <c r="Y28" s="22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/>
      <c r="AC28" s="227"/>
      <c r="BB28" s="8">
        <f t="shared" si="7"/>
      </c>
    </row>
    <row r="29" spans="1:54" ht="12.75">
      <c r="A29" s="228" t="s">
        <v>52</v>
      </c>
      <c r="B29" s="229"/>
      <c r="C29" s="230"/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0"/>
        <v>0</v>
      </c>
      <c r="G29" s="21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1">
        <f t="shared" si="1"/>
      </c>
      <c r="R29" s="222">
        <f t="shared" si="2"/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52</v>
      </c>
      <c r="X29" s="224"/>
      <c r="Y29" s="22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/>
      <c r="AC29" s="227"/>
      <c r="BB29" s="8">
        <f t="shared" si="7"/>
      </c>
    </row>
    <row r="30" spans="1:54" ht="12.75">
      <c r="A30" s="228" t="s">
        <v>52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52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52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52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52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52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52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52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52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52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52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52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52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52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52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52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52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52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52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52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52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52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52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52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52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52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52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52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52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52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52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52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52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52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52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52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52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52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52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52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52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52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52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52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52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52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52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52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52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52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52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52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52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52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52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52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52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52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52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52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52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52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52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52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52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52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52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52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52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52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52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52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52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52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52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52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52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52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52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52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52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52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52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52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52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52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52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52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52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52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52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52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52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52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52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52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52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52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52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52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52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52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52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52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52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52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77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VANNE</v>
      </c>
      <c r="B84" s="265" t="str">
        <f>C3</f>
        <v>VANNE A SAINT BAUDILLET PIPET</v>
      </c>
      <c r="C84" s="266">
        <f>A4</f>
        <v>41877</v>
      </c>
      <c r="D84" s="267">
        <f>IF(ISERROR(SUM($T$23:$T$82)/SUM($U$23:$U$82)),"",SUM($T$23:$T$82)/SUM($U$23:$U$82))</f>
        <v>6</v>
      </c>
      <c r="E84" s="268">
        <f>N13</f>
        <v>1</v>
      </c>
      <c r="F84" s="265">
        <f>N14</f>
        <v>1</v>
      </c>
      <c r="G84" s="265">
        <f>N15</f>
        <v>1</v>
      </c>
      <c r="H84" s="265">
        <f>N16</f>
        <v>0</v>
      </c>
      <c r="I84" s="265">
        <f>N17</f>
        <v>0</v>
      </c>
      <c r="J84" s="269">
        <f>N8</f>
        <v>6</v>
      </c>
      <c r="K84" s="267">
        <f>N9</f>
        <v>0</v>
      </c>
      <c r="L84" s="268">
        <f>N10</f>
        <v>6</v>
      </c>
      <c r="M84" s="268">
        <f>N11</f>
        <v>6</v>
      </c>
      <c r="N84" s="267">
        <f>O8</f>
        <v>1</v>
      </c>
      <c r="O84" s="267">
        <f>O9</f>
        <v>0</v>
      </c>
      <c r="P84" s="268">
        <f>O10</f>
        <v>1</v>
      </c>
      <c r="Q84" s="268">
        <f>O11</f>
        <v>1</v>
      </c>
      <c r="R84" s="268">
        <f>F21</f>
        <v>0.009899999999999999</v>
      </c>
      <c r="S84" s="268">
        <f>K11</f>
        <v>0</v>
      </c>
      <c r="T84" s="268">
        <f>K12</f>
        <v>1</v>
      </c>
      <c r="U84" s="268">
        <f>K13</f>
        <v>0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78</v>
      </c>
      <c r="R86" s="8"/>
      <c r="S86" s="223"/>
      <c r="T86" s="8"/>
      <c r="U86" s="8"/>
      <c r="V86" s="8"/>
    </row>
    <row r="87" spans="16:22" ht="12.75" hidden="1">
      <c r="P87" s="8"/>
      <c r="Q87" s="8" t="s">
        <v>79</v>
      </c>
      <c r="R87" s="8"/>
      <c r="S87" s="223">
        <f>VLOOKUP(MAX($S$23:$S$82),($S$23:$U$82),1,0)</f>
        <v>6</v>
      </c>
      <c r="T87" s="8"/>
      <c r="U87" s="8"/>
      <c r="V87" s="8"/>
    </row>
    <row r="88" spans="16:22" ht="12.75" hidden="1">
      <c r="P88" s="8"/>
      <c r="Q88" s="8" t="s">
        <v>80</v>
      </c>
      <c r="R88" s="8"/>
      <c r="S88" s="223">
        <f>VLOOKUP((S87),($S$23:$U$82),2,0)</f>
        <v>6</v>
      </c>
      <c r="T88" s="8"/>
      <c r="U88" s="8"/>
      <c r="V88" s="8"/>
    </row>
    <row r="89" spans="17:20" ht="12.75" hidden="1">
      <c r="Q89" s="8" t="s">
        <v>81</v>
      </c>
      <c r="R89" s="8"/>
      <c r="S89" s="223">
        <f>VLOOKUP((S87),($S$23:$U$82),3,0)</f>
        <v>1</v>
      </c>
      <c r="T89" s="8"/>
    </row>
    <row r="90" spans="17:20" ht="12.75">
      <c r="Q90" s="8" t="s">
        <v>82</v>
      </c>
      <c r="R90" s="8"/>
      <c r="S90" s="274" t="e">
        <f>IF(ISERROR(SUM($T$23:$T$82)/SUM($U$23:$U$82)),"",(SUM($T$23:$T$82)-S88)/(SUM($U$23:$U$82)-S89))</f>
        <v>#DIV/0!</v>
      </c>
      <c r="T90" s="8"/>
    </row>
    <row r="91" spans="17:21" ht="12.75">
      <c r="Q91" s="222" t="s">
        <v>83</v>
      </c>
      <c r="R91" s="222"/>
      <c r="S91" s="222" t="str">
        <f>INDEX('[1]liste reference'!$A$8:$A$904,$T$91)</f>
        <v>CLASPX</v>
      </c>
      <c r="T91" s="8">
        <f>IF(ISERROR(MATCH($S$93,'[1]liste reference'!$A$8:$A$904,0)),MATCH($S$93,'[1]liste reference'!$B$8:$B$904,0),(MATCH($S$93,'[1]liste reference'!$A$8:$A$904,0)))</f>
        <v>23</v>
      </c>
      <c r="U91" s="263"/>
    </row>
    <row r="92" spans="17:20" ht="12.75">
      <c r="Q92" s="8" t="s">
        <v>84</v>
      </c>
      <c r="R92" s="8"/>
      <c r="S92" s="8">
        <f>MATCH(S87,$S$23:$S$82,0)</f>
        <v>1</v>
      </c>
      <c r="T92" s="8"/>
    </row>
    <row r="93" spans="17:20" ht="12.75">
      <c r="Q93" s="222" t="s">
        <v>85</v>
      </c>
      <c r="R93" s="8"/>
      <c r="S93" s="222" t="str">
        <f>INDEX($A$23:$A$82,$S$92)</f>
        <v>CLASPX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2015-03-17T10:41:37Z</dcterms:created>
  <dcterms:modified xsi:type="dcterms:W3CDTF">2015-03-17T10:41:42Z</dcterms:modified>
  <cp:category/>
  <cp:version/>
  <cp:contentType/>
  <cp:contentStatus/>
</cp:coreProperties>
</file>