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<sst xmlns="http://schemas.openxmlformats.org/spreadsheetml/2006/main" count="217" uniqueCount="96">
  <si>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</si>
  <si>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 xml:space="preserve">Formulaire modèle GIS Macrophytes v 3.3 - novembre 2013  </t>
  </si>
  <si>
    <t>SAGE</t>
  </si>
  <si>
    <t>LISEBE P VAUDAUX</t>
  </si>
  <si>
    <t>conforme AFNOR T90-395 oct. 2003</t>
  </si>
  <si>
    <t>ALLONDON</t>
  </si>
  <si>
    <t>ALLONDON A THOIRY</t>
  </si>
  <si>
    <t>06999107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</si>
  <si>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</si>
  <si>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</si>
  <si>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</si>
  <si>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</si>
  <si>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</si>
  <si>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</si>
  <si>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</si>
  <si>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</si>
  <si>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</si>
  <si>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</si>
  <si>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</si>
  <si>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</si>
  <si>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</si>
  <si>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</si>
  <si>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</si>
  <si>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</si>
  <si>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</si>
  <si>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</si>
  <si>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</si>
  <si>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</si>
  <si>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</si>
  <si>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</si>
  <si>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</si>
  <si>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</si>
  <si>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</si>
  <si>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</si>
  <si>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</si>
  <si>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</si>
  <si>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</si>
  <si>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</si>
  <si>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</si>
  <si>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</si>
  <si>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</si>
  <si>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</si>
  <si>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</si>
  <si>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</si>
  <si>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</si>
  <si>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</si>
  <si>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</si>
  <si>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</si>
  <si>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</si>
  <si>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</si>
  <si>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</si>
  <si>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</si>
  <si>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</si>
  <si>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</si>
  <si>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</si>
  <si>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</si>
  <si>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</si>
  <si>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</si>
  <si>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</si>
  <si>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</si>
  <si>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</si>
  <si>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</si>
  <si>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</si>
  <si>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</si>
  <si>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</si>
  <si>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</si>
  <si>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</si>
  <si>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</si>
  <si>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</si>
  <si>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</si>
  <si>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</si>
  <si>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</si>
  <si>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</si>
  <si>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</si>
  <si>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</si>
  <si>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</si>
  <si>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</si>
  <si>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</si>
  <si>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</si>
  <si>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</si>
  <si>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VAUSPX</t>
  </si>
  <si>
    <t>PELEND</t>
  </si>
  <si>
    <t>AMBRIP</t>
  </si>
  <si>
    <t>CINAQU</t>
  </si>
  <si>
    <t>CRAFIL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</si>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</sst>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LLOT_01-07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10.8</v>
      </c>
      <c r="M5" s="52"/>
      <c r="N5" s="53" t="s">
        <v>16</v>
      </c>
      <c r="O5" s="54">
        <v>10.5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10.777777777777779</v>
      </c>
      <c r="O8" s="84">
        <f>IF(ISERROR(AVERAGE(J23:J82)),"      -",AVERAGE(J23:J82))</f>
        <v>1.6666666666666667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18.58</v>
      </c>
      <c r="C9" s="87">
        <v>0.02</v>
      </c>
      <c r="D9" s="88"/>
      <c r="E9" s="88"/>
      <c r="F9" s="89">
        <f>($B9*$B$7+$C9*$C$7)/100</f>
        <v>17.651999999999997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4.637474834379824</v>
      </c>
      <c r="O9" s="84">
        <f>IF(ISERROR(STDEVP(J23:J82)),"      -",STDEVP(J23:J82))</f>
        <v>0.6666666666666666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15.09</v>
      </c>
      <c r="C12" s="120"/>
      <c r="D12" s="111"/>
      <c r="E12" s="111"/>
      <c r="F12" s="112">
        <f>($B12*$B$7+$C12*$C$7)/100</f>
        <v>14.3355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3.49</v>
      </c>
      <c r="C13" s="120">
        <v>0.02</v>
      </c>
      <c r="D13" s="111"/>
      <c r="E13" s="111"/>
      <c r="F13" s="112">
        <f>($B13*$B$7+$C13*$C$7)/100</f>
        <v>3.3165000000000004</v>
      </c>
      <c r="G13" s="121"/>
      <c r="H13" s="67"/>
      <c r="I13" s="129" t="s">
        <v>40</v>
      </c>
      <c r="J13" s="123"/>
      <c r="K13" s="116">
        <f>COUNTIF($G$23:$G$82,"=BRm")+COUNTIF($G$23:$G$82,"=BRh")</f>
        <v>7</v>
      </c>
      <c r="L13" s="117"/>
      <c r="M13" s="130" t="s">
        <v>41</v>
      </c>
      <c r="N13" s="131">
        <f>COUNTIF(F23:F82,"&gt;0")</f>
        <v>10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9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18.58</v>
      </c>
      <c r="C17" s="120">
        <v>0.02</v>
      </c>
      <c r="D17" s="111"/>
      <c r="E17" s="111"/>
      <c r="F17" s="147"/>
      <c r="G17" s="112">
        <f>($B17*$B$7+$C17*$C$7)/100</f>
        <v>17.651999999999997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17.652</v>
      </c>
      <c r="G19" s="161">
        <f>SUM(G16:G18)</f>
        <v>17.651999999999997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18.580000000000002</v>
      </c>
      <c r="C20" s="171">
        <f>SUM(C23:C82)</f>
        <v>0.02</v>
      </c>
      <c r="D20" s="172"/>
      <c r="E20" s="173" t="s">
        <v>53</v>
      </c>
      <c r="F20" s="174">
        <f>($B20*$B$7+$C20*$C$7)/100</f>
        <v>17.652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17.651</v>
      </c>
      <c r="C21" s="184">
        <f>C20*C7/100</f>
        <v>0.001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17.652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0.05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0.0475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0.0475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1" t="e">
        <f>IF(D24="",,VLOOKUP(D24,D$22:D23,1,0))</f>
        <v>#N/A</v>
      </c>
      <c r="F24" s="232">
        <f t="shared" si="0"/>
        <v>0.019000000000000003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1"/>
        <v>0.019000000000000003</v>
      </c>
      <c r="R24" s="222">
        <f t="shared" si="2"/>
        <v>1</v>
      </c>
      <c r="S24" s="222">
        <f t="shared" si="3"/>
        <v>15</v>
      </c>
      <c r="T24" s="222">
        <f t="shared" si="4"/>
        <v>30</v>
      </c>
      <c r="U24" s="234">
        <f t="shared" si="5"/>
        <v>2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15.02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14.268999999999998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14.268999999999998</v>
      </c>
      <c r="R25" s="222">
        <f t="shared" si="2"/>
        <v>4</v>
      </c>
      <c r="S25" s="222">
        <f t="shared" si="3"/>
        <v>16</v>
      </c>
      <c r="T25" s="222">
        <f t="shared" si="4"/>
        <v>16</v>
      </c>
      <c r="U25" s="234">
        <f t="shared" si="5"/>
        <v>4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2.9999999999999996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Pellia endiviifolia</v>
      </c>
      <c r="E26" s="231" t="e">
        <f>IF(D26="",,VLOOKUP(D26,D$22:D25,1,0))</f>
        <v>#N/A</v>
      </c>
      <c r="F26" s="232">
        <f t="shared" si="0"/>
        <v>2.8504999999999994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Pellia endiviifolia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1197</v>
      </c>
      <c r="Q26" s="221">
        <f t="shared" si="1"/>
        <v>2.8505</v>
      </c>
      <c r="R26" s="222">
        <f t="shared" si="2"/>
        <v>3</v>
      </c>
      <c r="S26" s="222">
        <f t="shared" si="3"/>
        <v>0</v>
      </c>
      <c r="T26" s="222">
        <f t="shared" si="4"/>
        <v>0</v>
      </c>
      <c r="U26" s="234">
        <f t="shared" si="5"/>
        <v>0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PELEND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120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0.02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riparium</v>
      </c>
      <c r="E27" s="231" t="e">
        <f>IF(D27="",,VLOOKUP(D27,D$22:D26,1,0))</f>
        <v>#N/A</v>
      </c>
      <c r="F27" s="232">
        <f t="shared" si="0"/>
        <v>0.019000000000000003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riparium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1219</v>
      </c>
      <c r="Q27" s="221">
        <f t="shared" si="1"/>
        <v>0.019000000000000003</v>
      </c>
      <c r="R27" s="222">
        <f t="shared" si="2"/>
        <v>1</v>
      </c>
      <c r="S27" s="222">
        <f t="shared" si="3"/>
        <v>5</v>
      </c>
      <c r="T27" s="222">
        <f t="shared" si="4"/>
        <v>10</v>
      </c>
      <c r="U27" s="234">
        <f t="shared" si="5"/>
        <v>2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AMBRIP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148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aquaticus</v>
      </c>
      <c r="E28" s="231" t="e">
        <f>IF(D28="",,VLOOKUP(D28,D$22:D27,1,0))</f>
        <v>#N/A</v>
      </c>
      <c r="F28" s="232">
        <f t="shared" si="0"/>
        <v>0.009500000000000001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aquaticus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1318</v>
      </c>
      <c r="Q28" s="221">
        <f t="shared" si="1"/>
        <v>0.009500000000000001</v>
      </c>
      <c r="R28" s="222">
        <f t="shared" si="2"/>
        <v>1</v>
      </c>
      <c r="S28" s="222">
        <f t="shared" si="3"/>
        <v>15</v>
      </c>
      <c r="T28" s="222">
        <f t="shared" si="4"/>
        <v>30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CINAQU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0.05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Cratoneuron filicinum</v>
      </c>
      <c r="E29" s="231" t="e">
        <f>IF(D29="",,VLOOKUP(D29,D$22:D28,1,0))</f>
        <v>#N/A</v>
      </c>
      <c r="F29" s="232">
        <f t="shared" si="0"/>
        <v>0.0475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18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Cratoneuron filicinum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1233</v>
      </c>
      <c r="Q29" s="221">
        <f t="shared" si="1"/>
        <v>0.0475</v>
      </c>
      <c r="R29" s="222">
        <f t="shared" si="2"/>
        <v>1</v>
      </c>
      <c r="S29" s="222">
        <f t="shared" si="3"/>
        <v>18</v>
      </c>
      <c r="T29" s="222">
        <f t="shared" si="4"/>
        <v>54</v>
      </c>
      <c r="U29" s="234">
        <f t="shared" si="5"/>
        <v>3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CRAFIL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178</v>
      </c>
      <c r="AA29" s="226"/>
      <c r="AB29" s="227"/>
      <c r="AC29" s="227"/>
      <c r="BB29" s="8">
        <f t="shared" si="7"/>
        <v>1</v>
      </c>
    </row>
    <row r="30" spans="1:54" ht="12.75">
      <c r="A30" s="228" t="s">
        <v>16</v>
      </c>
      <c r="B30" s="229">
        <v>0.3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Fissidens crassipes</v>
      </c>
      <c r="E30" s="231" t="e">
        <f>IF(D30="",,VLOOKUP(D30,D$22:D29,1,0))</f>
        <v>#N/A</v>
      </c>
      <c r="F30" s="232">
        <f t="shared" si="0"/>
        <v>0.285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Fissidens crassipes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1294</v>
      </c>
      <c r="Q30" s="221">
        <f t="shared" si="1"/>
        <v>0.285</v>
      </c>
      <c r="R30" s="222">
        <f t="shared" si="2"/>
        <v>2</v>
      </c>
      <c r="S30" s="222">
        <f t="shared" si="3"/>
        <v>24</v>
      </c>
      <c r="T30" s="222">
        <f t="shared" si="4"/>
        <v>48</v>
      </c>
      <c r="U30" s="234">
        <f t="shared" si="5"/>
        <v>4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FISCRA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197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0.02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Fontinalis antipyretica</v>
      </c>
      <c r="E31" s="231" t="e">
        <f>IF(D31="",,VLOOKUP(D31,D$22:D30,1,0))</f>
        <v>#N/A</v>
      </c>
      <c r="F31" s="232">
        <f t="shared" si="0"/>
        <v>0.019500000000000003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Fontinalis antipyretica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1310</v>
      </c>
      <c r="Q31" s="221">
        <f t="shared" si="1"/>
        <v>0.019500000000000003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54</v>
      </c>
      <c r="Y31" s="225" t="str">
        <f>IF(A31="new.cod","NEWCOD",IF(AND((Z31=""),ISTEXT(A31)),A31,IF(Z31="","",INDEX('[1]liste reference'!$A$8:$A$904,Z31))))</f>
        <v>FONANT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210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0.09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Rhynchostegium riparioides</v>
      </c>
      <c r="E32" s="231" t="e">
        <f>IF(D32="",,VLOOKUP(D32,D$22:D31,1,0))</f>
        <v>#N/A</v>
      </c>
      <c r="F32" s="232">
        <f t="shared" si="0"/>
        <v>0.08549999999999999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Rhynchostegium riparioides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1268</v>
      </c>
      <c r="Q32" s="221">
        <f t="shared" si="1"/>
        <v>0.08549999999999999</v>
      </c>
      <c r="R32" s="222">
        <f t="shared" si="2"/>
        <v>1</v>
      </c>
      <c r="S32" s="222">
        <f t="shared" si="3"/>
        <v>12</v>
      </c>
      <c r="T32" s="222">
        <f t="shared" si="4"/>
        <v>12</v>
      </c>
      <c r="U32" s="234">
        <f t="shared" si="5"/>
        <v>1</v>
      </c>
      <c r="V32" s="223">
        <f t="shared" si="6"/>
      </c>
      <c r="W32" s="224" t="s">
        <v>54</v>
      </c>
      <c r="Y32" s="225" t="str">
        <f>IF(A32="new.cod","NEWCOD",IF(AND((Z32=""),ISTEXT(A32)),A32,IF(Z32="","",INDEX('[1]liste reference'!$A$8:$A$904,Z32))))</f>
        <v>RHYRIP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252</v>
      </c>
      <c r="AA32" s="226"/>
      <c r="AB32" s="227"/>
      <c r="AC32" s="227"/>
      <c r="BB32" s="8">
        <f t="shared" si="7"/>
        <v>1</v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ALLONDON</v>
      </c>
      <c r="B84" s="265" t="str">
        <f>C3</f>
        <v>ALLONDON A THOIRY</v>
      </c>
      <c r="C84" s="266">
        <f>A4</f>
        <v>41821</v>
      </c>
      <c r="D84" s="267">
        <f>IF(ISERROR(SUM($T$23:$T$82)/SUM($U$23:$U$82)),"",SUM($T$23:$T$82)/SUM($U$23:$U$82))</f>
        <v>10.8</v>
      </c>
      <c r="E84" s="268">
        <f>N13</f>
        <v>10</v>
      </c>
      <c r="F84" s="265">
        <f>N14</f>
        <v>9</v>
      </c>
      <c r="G84" s="265">
        <f>N15</f>
        <v>4</v>
      </c>
      <c r="H84" s="265">
        <f>N16</f>
        <v>4</v>
      </c>
      <c r="I84" s="265">
        <f>N17</f>
        <v>1</v>
      </c>
      <c r="J84" s="269">
        <f>N8</f>
        <v>10.777777777777779</v>
      </c>
      <c r="K84" s="267">
        <f>N9</f>
        <v>4.637474834379824</v>
      </c>
      <c r="L84" s="268">
        <f>N10</f>
        <v>4</v>
      </c>
      <c r="M84" s="268">
        <f>N11</f>
        <v>18</v>
      </c>
      <c r="N84" s="267">
        <f>O8</f>
        <v>1.6666666666666667</v>
      </c>
      <c r="O84" s="267">
        <f>O9</f>
        <v>0.6666666666666666</v>
      </c>
      <c r="P84" s="268">
        <f>O10</f>
        <v>1</v>
      </c>
      <c r="Q84" s="268">
        <f>O11</f>
        <v>3</v>
      </c>
      <c r="R84" s="268">
        <f>F21</f>
        <v>17.652</v>
      </c>
      <c r="S84" s="268">
        <f>K11</f>
        <v>0</v>
      </c>
      <c r="T84" s="268">
        <f>K12</f>
        <v>3</v>
      </c>
      <c r="U84" s="268">
        <f>K13</f>
        <v>7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48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4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10.5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63"/>
    </row>
    <row r="92" spans="17:20" ht="12.75">
      <c r="Q92" s="8" t="s">
        <v>94</v>
      </c>
      <c r="R92" s="8"/>
      <c r="S92" s="8">
        <f>MATCH(S87,$S$23:$S$82,0)</f>
        <v>8</v>
      </c>
      <c r="T92" s="8"/>
    </row>
    <row r="93" spans="17:20" ht="12.75">
      <c r="Q93" s="222" t="s">
        <v>95</v>
      </c>
      <c r="R93" s="8"/>
      <c r="S93" s="222" t="str">
        <f>INDEX($A$23:$A$82,$S$92)</f>
        <v>FISCRA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2015-02-02T15:00:12Z</dcterms:created>
  <dcterms:modified xsi:type="dcterms:W3CDTF">2015-02-02T15:00:20Z</dcterms:modified>
  <cp:category/>
  <cp:version/>
  <cp:contentType/>
  <cp:contentStatus/>
</cp:coreProperties>
</file>