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1-Clermont-Ferrand\2021\Adour-Garonne\SAISIE\"/>
    </mc:Choice>
  </mc:AlternateContent>
  <bookViews>
    <workbookView xWindow="0" yWindow="0" windowWidth="25200" windowHeight="11985" tabRatio="721" activeTab="1"/>
  </bookViews>
  <sheets>
    <sheet name="1- PR19EN01" sheetId="8" r:id="rId1"/>
    <sheet name="2-SAISIE-IRSTEA" sheetId="1" r:id="rId2"/>
    <sheet name="3-MO04-EN01-échantillonnage" sheetId="9" r:id="rId3"/>
    <sheet name="4-SoutienBio" sheetId="10" r:id="rId4"/>
    <sheet name="5-Station" sheetId="5" r:id="rId5"/>
    <sheet name="Listes_deroulantes" sheetId="6" r:id="rId6"/>
    <sheet name="cemagref" sheetId="7" r:id="rId7"/>
    <sheet name="Ref. Taxo. " sheetId="2" r:id="rId8"/>
    <sheet name="Mises à jour" sheetId="4" r:id="rId9"/>
  </sheets>
  <externalReferences>
    <externalReference r:id="rId10"/>
  </externalReferences>
  <definedNames>
    <definedName name="_xlnm._FilterDatabase" localSheetId="4" hidden="1">'5-Station'!$A$1:$Q$26</definedName>
    <definedName name="boc">[1]échantillonnage!$BZ$98:$CK$99</definedName>
    <definedName name="DATE">[1]échantillonnage!$S$5</definedName>
    <definedName name="Destinataires" localSheetId="0">Listes_deroulantes!$I$1:$J$4</definedName>
    <definedName name="Destinataires" localSheetId="5">Listes_deroulantes!$I$1:$J$4</definedName>
    <definedName name="f_taxon" localSheetId="0">OFFSET(p_taxon,0,0,COUNTA(l_taxon),1)</definedName>
    <definedName name="f_taxon" localSheetId="2">OFFSET('3-MO04-EN01-échantillonnage'!p_taxon,0,0,COUNTA('3-MO04-EN01-échantillonnage'!l_taxon),1)</definedName>
    <definedName name="f_taxon" localSheetId="6">OFFSET(p_taxon,0,0,COUNTA(l_taxon),1)</definedName>
    <definedName name="f_taxon" localSheetId="5">OFFSET(p_taxon,0,0,COUNTA(l_taxon),1)</definedName>
    <definedName name="f_taxon">OFFSET(p_taxon,0,0,COUNTA(l_taxon),1)</definedName>
    <definedName name="Heure" localSheetId="0">Listes_deroulantes!$O$2</definedName>
    <definedName name="Heure" localSheetId="5">Listes_deroulantes!$O$2</definedName>
    <definedName name="l_taxon" localSheetId="2">'Ref. Taxo. '!$A$2:$A$11889</definedName>
    <definedName name="l_taxon">'Ref. Taxo. '!$A$2:$A$11889</definedName>
    <definedName name="localisation" localSheetId="6">cemagref!#REF!</definedName>
    <definedName name="localisation" localSheetId="5">'5-Station'!$J:$J</definedName>
    <definedName name="p_taxon" localSheetId="2">'Ref. Taxo. '!$A$2</definedName>
    <definedName name="p_taxon">'Ref. Taxo. '!$A$2</definedName>
    <definedName name="plan">'3-MO04-EN01-échantillonnage'!$I$25:$T$96</definedName>
    <definedName name="Print_Area" localSheetId="0">'1- PR19EN01'!$A$1:$K$67</definedName>
    <definedName name="Print_Area" localSheetId="1">'2-SAISIE-IRSTEA'!$A$1:$T$163</definedName>
    <definedName name="Print_Area" localSheetId="2">'3-MO04-EN01-échantillonnage'!$A$1:$Z$102</definedName>
    <definedName name="Print_Area" localSheetId="6">cemagref!#REF!</definedName>
    <definedName name="Ref.Taxo." localSheetId="2">'Ref. Taxo. '!$A$2:$B$11889</definedName>
    <definedName name="Ref.Taxo.">'Ref. Taxo. '!$A$2:$B$11889</definedName>
    <definedName name="Sites" localSheetId="0">Listes_deroulantes!$C$2:$F$3</definedName>
    <definedName name="Sites" localSheetId="5">Listes_deroulantes!$C$2:$F$3</definedName>
    <definedName name="Station" localSheetId="0">'5-Station'!$A$2:$Q$339</definedName>
    <definedName name="Station" localSheetId="2">'5-Station'!$A$2:$Q$339</definedName>
    <definedName name="Station" localSheetId="6">'5-Station'!$A$2:$Q$339</definedName>
    <definedName name="Station" localSheetId="5">'5-Station'!$A$2:$Q$339</definedName>
    <definedName name="Station">'5-Station'!$A$2:$Q$339</definedName>
    <definedName name="tableau" localSheetId="0">cemagref!$B$4:$J$195</definedName>
    <definedName name="tableau" localSheetId="2">cemagref!$B$4:$J$195</definedName>
    <definedName name="tableau" localSheetId="5">cemagref!$B$4:$J$195</definedName>
    <definedName name="tableau">cemagref!$B$4:$J$195</definedName>
    <definedName name="_xlnm.Print_Area" localSheetId="0">'1- PR19EN01'!$A$1:$K$67</definedName>
    <definedName name="_xlnm.Print_Area" localSheetId="1">'2-SAISIE-IRSTEA'!$A$1:$S$163</definedName>
  </definedNames>
  <calcPr calcId="152511"/>
</workbook>
</file>

<file path=xl/calcChain.xml><?xml version="1.0" encoding="utf-8"?>
<calcChain xmlns="http://schemas.openxmlformats.org/spreadsheetml/2006/main">
  <c r="Q20" i="5" l="1"/>
  <c r="Q28" i="5"/>
  <c r="Q40" i="5"/>
  <c r="Q113" i="5" l="1"/>
  <c r="Q114" i="5"/>
  <c r="Q115" i="5"/>
  <c r="Q116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33" i="5" l="1"/>
  <c r="Q132" i="5"/>
  <c r="Q131" i="5"/>
  <c r="Q130" i="5"/>
  <c r="Q119" i="5" l="1"/>
  <c r="Q118" i="5"/>
  <c r="Q117" i="5"/>
  <c r="H39" i="1" l="1"/>
  <c r="H39" i="10"/>
  <c r="H50" i="1"/>
  <c r="H49" i="1"/>
  <c r="H48" i="1"/>
  <c r="H47" i="1"/>
  <c r="H46" i="1"/>
  <c r="H45" i="1"/>
  <c r="H44" i="1"/>
  <c r="H43" i="1"/>
  <c r="H42" i="1"/>
  <c r="H41" i="1"/>
  <c r="H40" i="1"/>
  <c r="H50" i="10"/>
  <c r="H49" i="10"/>
  <c r="H48" i="10"/>
  <c r="H47" i="10"/>
  <c r="H46" i="10"/>
  <c r="H45" i="10"/>
  <c r="H44" i="10"/>
  <c r="H43" i="10"/>
  <c r="H42" i="10"/>
  <c r="H41" i="10"/>
  <c r="H40" i="10"/>
  <c r="AC93" i="9" l="1"/>
  <c r="AD93" i="9" s="1"/>
  <c r="AC87" i="9"/>
  <c r="AD87" i="9" s="1"/>
  <c r="AC81" i="9"/>
  <c r="AC75" i="9"/>
  <c r="AD75" i="9" s="1"/>
  <c r="AC69" i="9"/>
  <c r="AD69" i="9" s="1"/>
  <c r="AC63" i="9"/>
  <c r="AC57" i="9"/>
  <c r="AD57" i="9" s="1"/>
  <c r="AC51" i="9"/>
  <c r="AC45" i="9"/>
  <c r="AB45" i="9"/>
  <c r="AC39" i="9"/>
  <c r="AB39" i="9"/>
  <c r="AC33" i="9"/>
  <c r="AB33" i="9"/>
  <c r="AC27" i="9"/>
  <c r="AB27" i="9"/>
  <c r="AN93" i="9"/>
  <c r="AN87" i="9"/>
  <c r="AM87" i="9"/>
  <c r="AN81" i="9"/>
  <c r="AN75" i="9"/>
  <c r="AN69" i="9"/>
  <c r="AN63" i="9"/>
  <c r="AN57" i="9"/>
  <c r="AN51" i="9"/>
  <c r="AN45" i="9"/>
  <c r="AM45" i="9"/>
  <c r="AN39" i="9"/>
  <c r="AM39" i="9"/>
  <c r="AN33" i="9"/>
  <c r="AM33" i="9"/>
  <c r="AN27" i="9"/>
  <c r="AM27" i="9"/>
  <c r="AM51" i="9" l="1"/>
  <c r="AM57" i="9" s="1"/>
  <c r="AM63" i="9" s="1"/>
  <c r="AC99" i="9"/>
  <c r="AB51" i="9"/>
  <c r="AB57" i="9" s="1"/>
  <c r="AN98" i="9"/>
  <c r="AH87" i="9"/>
  <c r="AI87" i="9" s="1"/>
  <c r="AC98" i="9"/>
  <c r="AH45" i="9"/>
  <c r="AH69" i="9"/>
  <c r="AH27" i="9"/>
  <c r="AI27" i="9" s="1"/>
  <c r="AH51" i="9"/>
  <c r="AH75" i="9"/>
  <c r="AI75" i="9" s="1"/>
  <c r="AH33" i="9"/>
  <c r="AH57" i="9"/>
  <c r="AH81" i="9"/>
  <c r="AH39" i="9"/>
  <c r="AH63" i="9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76" i="5"/>
  <c r="AM69" i="9" l="1"/>
  <c r="AM75" i="9" s="1"/>
  <c r="AB63" i="9"/>
  <c r="Q47" i="5"/>
  <c r="Q43" i="5"/>
  <c r="AM81" i="9" l="1"/>
  <c r="AM93" i="9" s="1"/>
  <c r="AM98" i="9" s="1"/>
  <c r="AB69" i="9"/>
  <c r="AB75" i="9" s="1"/>
  <c r="C4" i="9"/>
  <c r="AQ75" i="9" l="1"/>
  <c r="AQ33" i="9"/>
  <c r="AQ27" i="9"/>
  <c r="AQ69" i="9"/>
  <c r="AQ51" i="9"/>
  <c r="AQ63" i="9"/>
  <c r="AQ57" i="9"/>
  <c r="AO27" i="9"/>
  <c r="AP27" i="9" s="1"/>
  <c r="AQ87" i="9"/>
  <c r="AQ93" i="9"/>
  <c r="AQ39" i="9"/>
  <c r="AQ45" i="9"/>
  <c r="AQ81" i="9"/>
  <c r="AB81" i="9"/>
  <c r="Q41" i="5"/>
  <c r="J97" i="9"/>
  <c r="V98" i="9"/>
  <c r="P97" i="9"/>
  <c r="AB87" i="9" l="1"/>
  <c r="AB93" i="9" s="1"/>
  <c r="AB98" i="9" s="1"/>
  <c r="AO33" i="9"/>
  <c r="AP33" i="9" s="1"/>
  <c r="Y33" i="9" s="1"/>
  <c r="AQ98" i="9"/>
  <c r="Y27" i="9"/>
  <c r="AS27" i="9"/>
  <c r="AT27" i="9" s="1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AD63" i="9" l="1"/>
  <c r="AD81" i="9"/>
  <c r="AD27" i="9"/>
  <c r="AD33" i="9" s="1"/>
  <c r="AF27" i="9"/>
  <c r="AF39" i="9"/>
  <c r="AF69" i="9"/>
  <c r="AF93" i="9"/>
  <c r="AF33" i="9"/>
  <c r="AF87" i="9"/>
  <c r="AF63" i="9"/>
  <c r="AH93" i="9"/>
  <c r="AH98" i="9" s="1"/>
  <c r="AF81" i="9"/>
  <c r="AF51" i="9"/>
  <c r="AF57" i="9"/>
  <c r="AF45" i="9"/>
  <c r="AF75" i="9"/>
  <c r="AO39" i="9"/>
  <c r="AO45" i="9" s="1"/>
  <c r="AO51" i="9" s="1"/>
  <c r="AS33" i="9"/>
  <c r="AT33" i="9" s="1"/>
  <c r="I50" i="10"/>
  <c r="I49" i="10"/>
  <c r="I48" i="10"/>
  <c r="I47" i="10"/>
  <c r="I46" i="10"/>
  <c r="I45" i="10"/>
  <c r="I44" i="10"/>
  <c r="I43" i="10"/>
  <c r="I42" i="10"/>
  <c r="I41" i="10"/>
  <c r="I40" i="10"/>
  <c r="I39" i="10"/>
  <c r="D26" i="10"/>
  <c r="N23" i="10"/>
  <c r="M23" i="10"/>
  <c r="L23" i="10"/>
  <c r="K23" i="10"/>
  <c r="B23" i="10"/>
  <c r="AD39" i="9" l="1"/>
  <c r="AD45" i="9" s="1"/>
  <c r="AD51" i="9"/>
  <c r="AF98" i="9"/>
  <c r="AP39" i="9"/>
  <c r="AS39" i="9" s="1"/>
  <c r="AT39" i="9" s="1"/>
  <c r="AO57" i="9"/>
  <c r="AP57" i="9" s="1"/>
  <c r="AS57" i="9" s="1"/>
  <c r="AT57" i="9" s="1"/>
  <c r="AP51" i="9"/>
  <c r="AS51" i="9" s="1"/>
  <c r="AT51" i="9" s="1"/>
  <c r="AP45" i="9"/>
  <c r="AS45" i="9" s="1"/>
  <c r="AT45" i="9" s="1"/>
  <c r="B26" i="10"/>
  <c r="G26" i="10"/>
  <c r="D23" i="10"/>
  <c r="C39" i="10" s="1"/>
  <c r="H23" i="10"/>
  <c r="B66" i="10"/>
  <c r="D39" i="10"/>
  <c r="A66" i="10"/>
  <c r="I23" i="10"/>
  <c r="G23" i="10"/>
  <c r="E23" i="10"/>
  <c r="C23" i="10"/>
  <c r="B39" i="10" s="1"/>
  <c r="F23" i="10"/>
  <c r="J23" i="10"/>
  <c r="A39" i="10"/>
  <c r="I39" i="1"/>
  <c r="AD98" i="9" l="1"/>
  <c r="AE27" i="9" s="1"/>
  <c r="AE33" i="9" s="1"/>
  <c r="AE39" i="9" s="1"/>
  <c r="AE45" i="9" s="1"/>
  <c r="AE51" i="9" s="1"/>
  <c r="AE57" i="9" s="1"/>
  <c r="Y39" i="9"/>
  <c r="AO63" i="9"/>
  <c r="AO69" i="9" s="1"/>
  <c r="Y51" i="9"/>
  <c r="Y57" i="9"/>
  <c r="Y45" i="9"/>
  <c r="A77" i="10"/>
  <c r="A75" i="10"/>
  <c r="A73" i="10"/>
  <c r="A71" i="10"/>
  <c r="A69" i="10"/>
  <c r="A67" i="10"/>
  <c r="A76" i="10"/>
  <c r="A72" i="10"/>
  <c r="A68" i="10"/>
  <c r="A74" i="10"/>
  <c r="A70" i="10"/>
  <c r="B76" i="10"/>
  <c r="B74" i="10"/>
  <c r="B72" i="10"/>
  <c r="B70" i="10"/>
  <c r="B68" i="10"/>
  <c r="B75" i="10"/>
  <c r="B71" i="10"/>
  <c r="B67" i="10"/>
  <c r="B77" i="10"/>
  <c r="B73" i="10"/>
  <c r="B69" i="10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120" i="5"/>
  <c r="Q121" i="5"/>
  <c r="Q122" i="5"/>
  <c r="Q123" i="5"/>
  <c r="Q124" i="5"/>
  <c r="Q125" i="5"/>
  <c r="Q126" i="5"/>
  <c r="Q127" i="5"/>
  <c r="Q128" i="5"/>
  <c r="Q129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59" i="5"/>
  <c r="AE63" i="9" l="1"/>
  <c r="AE69" i="9" s="1"/>
  <c r="AP63" i="9"/>
  <c r="Y63" i="9" s="1"/>
  <c r="AO75" i="9"/>
  <c r="AP69" i="9"/>
  <c r="D88" i="1"/>
  <c r="AS63" i="9" l="1"/>
  <c r="AT63" i="9" s="1"/>
  <c r="AS69" i="9"/>
  <c r="AT69" i="9" s="1"/>
  <c r="Y69" i="9"/>
  <c r="AP75" i="9"/>
  <c r="AS75" i="9" s="1"/>
  <c r="AT75" i="9" s="1"/>
  <c r="AO81" i="9"/>
  <c r="AO87" i="9" s="1"/>
  <c r="AP87" i="9" s="1"/>
  <c r="Y87" i="9" s="1"/>
  <c r="AE75" i="9"/>
  <c r="M124" i="9"/>
  <c r="S18" i="9" s="1"/>
  <c r="P23" i="10" s="1"/>
  <c r="K125" i="9"/>
  <c r="S17" i="9" s="1"/>
  <c r="E39" i="10" s="1"/>
  <c r="I125" i="9"/>
  <c r="Y75" i="9" l="1"/>
  <c r="AP81" i="9"/>
  <c r="AS81" i="9" s="1"/>
  <c r="AT81" i="9" s="1"/>
  <c r="AO93" i="9"/>
  <c r="AS87" i="9"/>
  <c r="AT87" i="9" s="1"/>
  <c r="AE81" i="9"/>
  <c r="AE87" i="9" s="1"/>
  <c r="S16" i="9"/>
  <c r="O23" i="10" s="1"/>
  <c r="M125" i="9"/>
  <c r="S97" i="9"/>
  <c r="M97" i="9"/>
  <c r="B11" i="8"/>
  <c r="AE93" i="9" l="1"/>
  <c r="AE98" i="9" s="1"/>
  <c r="Y81" i="9"/>
  <c r="AO98" i="9"/>
  <c r="AP93" i="9"/>
  <c r="AS93" i="9" s="1"/>
  <c r="S177" i="5"/>
  <c r="AT93" i="9" l="1"/>
  <c r="AT98" i="9" s="1"/>
  <c r="AS98" i="9"/>
  <c r="AP98" i="9"/>
  <c r="Y93" i="9"/>
  <c r="Q19" i="5"/>
  <c r="Q21" i="5"/>
  <c r="Q22" i="5"/>
  <c r="Q23" i="5"/>
  <c r="Q24" i="5"/>
  <c r="Q25" i="5"/>
  <c r="Q26" i="5"/>
  <c r="Q27" i="5"/>
  <c r="Q29" i="5"/>
  <c r="Q30" i="5"/>
  <c r="Q31" i="5"/>
  <c r="Q32" i="5"/>
  <c r="Q33" i="5"/>
  <c r="Q34" i="5"/>
  <c r="Q35" i="5"/>
  <c r="Q36" i="5"/>
  <c r="Q37" i="5"/>
  <c r="Q38" i="5"/>
  <c r="Q39" i="5"/>
  <c r="Q42" i="5"/>
  <c r="Q44" i="5"/>
  <c r="Q45" i="5"/>
  <c r="Q46" i="5"/>
  <c r="Q48" i="5"/>
  <c r="Q49" i="5"/>
  <c r="Q50" i="5"/>
  <c r="Q51" i="5"/>
  <c r="Q52" i="5"/>
  <c r="Q53" i="5"/>
  <c r="Q54" i="5"/>
  <c r="Q55" i="5"/>
  <c r="Q56" i="5"/>
  <c r="Q57" i="5"/>
  <c r="Q58" i="5"/>
  <c r="B195" i="7"/>
  <c r="E195" i="7" s="1"/>
  <c r="B192" i="7"/>
  <c r="D192" i="7" s="1"/>
  <c r="B191" i="7"/>
  <c r="E191" i="7" s="1"/>
  <c r="B190" i="7"/>
  <c r="E190" i="7" s="1"/>
  <c r="E184" i="7"/>
  <c r="E185" i="7"/>
  <c r="E187" i="7"/>
  <c r="E186" i="7"/>
  <c r="B187" i="7"/>
  <c r="B186" i="7"/>
  <c r="D186" i="7" s="1"/>
  <c r="B182" i="7"/>
  <c r="D182" i="7" s="1"/>
  <c r="B179" i="7"/>
  <c r="E179" i="7" s="1"/>
  <c r="B178" i="7"/>
  <c r="E178" i="7" s="1"/>
  <c r="B175" i="7"/>
  <c r="E175" i="7" s="1"/>
  <c r="B174" i="7"/>
  <c r="E174" i="7" s="1"/>
  <c r="B171" i="7"/>
  <c r="E171" i="7" s="1"/>
  <c r="B170" i="7"/>
  <c r="D170" i="7" s="1"/>
  <c r="B167" i="7"/>
  <c r="E167" i="7" s="1"/>
  <c r="B166" i="7"/>
  <c r="E166" i="7" s="1"/>
  <c r="B163" i="7"/>
  <c r="E163" i="7" s="1"/>
  <c r="B162" i="7"/>
  <c r="E162" i="7" s="1"/>
  <c r="B159" i="7"/>
  <c r="E159" i="7" s="1"/>
  <c r="B158" i="7"/>
  <c r="C158" i="7" s="1"/>
  <c r="B155" i="7"/>
  <c r="E155" i="7" s="1"/>
  <c r="B154" i="7"/>
  <c r="C154" i="7" s="1"/>
  <c r="B151" i="7"/>
  <c r="E151" i="7" s="1"/>
  <c r="B150" i="7"/>
  <c r="E150" i="7" s="1"/>
  <c r="B147" i="7"/>
  <c r="E147" i="7" s="1"/>
  <c r="B146" i="7"/>
  <c r="C146" i="7" s="1"/>
  <c r="B143" i="7"/>
  <c r="E143" i="7" s="1"/>
  <c r="B142" i="7"/>
  <c r="C142" i="7" s="1"/>
  <c r="B139" i="7"/>
  <c r="E139" i="7" s="1"/>
  <c r="B138" i="7"/>
  <c r="C138" i="7" s="1"/>
  <c r="B135" i="7"/>
  <c r="E135" i="7" s="1"/>
  <c r="B134" i="7"/>
  <c r="D134" i="7" s="1"/>
  <c r="B131" i="7"/>
  <c r="E131" i="7" s="1"/>
  <c r="B130" i="7"/>
  <c r="C130" i="7" s="1"/>
  <c r="B127" i="7"/>
  <c r="E127" i="7" s="1"/>
  <c r="B126" i="7"/>
  <c r="D126" i="7" s="1"/>
  <c r="B123" i="7"/>
  <c r="E123" i="7" s="1"/>
  <c r="B122" i="7"/>
  <c r="D122" i="7" s="1"/>
  <c r="B119" i="7"/>
  <c r="E119" i="7" s="1"/>
  <c r="B118" i="7"/>
  <c r="D118" i="7" s="1"/>
  <c r="B115" i="7"/>
  <c r="E115" i="7" s="1"/>
  <c r="B111" i="7"/>
  <c r="E111" i="7" s="1"/>
  <c r="B110" i="7"/>
  <c r="E110" i="7" s="1"/>
  <c r="B107" i="7"/>
  <c r="E107" i="7" s="1"/>
  <c r="B106" i="7"/>
  <c r="D106" i="7" s="1"/>
  <c r="B103" i="7"/>
  <c r="E103" i="7" s="1"/>
  <c r="B102" i="7"/>
  <c r="C102" i="7" s="1"/>
  <c r="B99" i="7"/>
  <c r="E99" i="7" s="1"/>
  <c r="B98" i="7"/>
  <c r="C98" i="7" s="1"/>
  <c r="B95" i="7"/>
  <c r="E95" i="7" s="1"/>
  <c r="B94" i="7"/>
  <c r="C94" i="7" s="1"/>
  <c r="B91" i="7"/>
  <c r="E91" i="7" s="1"/>
  <c r="B90" i="7"/>
  <c r="E90" i="7" s="1"/>
  <c r="B87" i="7"/>
  <c r="E87" i="7" s="1"/>
  <c r="B86" i="7"/>
  <c r="C86" i="7" s="1"/>
  <c r="B83" i="7"/>
  <c r="E83" i="7" s="1"/>
  <c r="B82" i="7"/>
  <c r="E82" i="7" s="1"/>
  <c r="B79" i="7"/>
  <c r="E79" i="7" s="1"/>
  <c r="B78" i="7"/>
  <c r="C78" i="7" s="1"/>
  <c r="B75" i="7"/>
  <c r="E75" i="7" s="1"/>
  <c r="B74" i="7"/>
  <c r="E74" i="7" s="1"/>
  <c r="B71" i="7"/>
  <c r="E71" i="7" s="1"/>
  <c r="B70" i="7"/>
  <c r="C70" i="7" s="1"/>
  <c r="B67" i="7"/>
  <c r="E67" i="7" s="1"/>
  <c r="B66" i="7"/>
  <c r="C66" i="7" s="1"/>
  <c r="B63" i="7"/>
  <c r="E63" i="7" s="1"/>
  <c r="B62" i="7"/>
  <c r="C62" i="7" s="1"/>
  <c r="B59" i="7"/>
  <c r="E59" i="7" s="1"/>
  <c r="B58" i="7"/>
  <c r="C58" i="7" s="1"/>
  <c r="B55" i="7"/>
  <c r="E55" i="7" s="1"/>
  <c r="B54" i="7"/>
  <c r="C54" i="7" s="1"/>
  <c r="B51" i="7"/>
  <c r="E51" i="7" s="1"/>
  <c r="B50" i="7"/>
  <c r="E50" i="7" s="1"/>
  <c r="B47" i="7"/>
  <c r="E47" i="7" s="1"/>
  <c r="B46" i="7"/>
  <c r="C46" i="7" s="1"/>
  <c r="B43" i="7"/>
  <c r="E43" i="7" s="1"/>
  <c r="B42" i="7"/>
  <c r="B39" i="7"/>
  <c r="E39" i="7" s="1"/>
  <c r="B38" i="7"/>
  <c r="C38" i="7" s="1"/>
  <c r="D166" i="7"/>
  <c r="B35" i="7"/>
  <c r="D35" i="7" s="1"/>
  <c r="B34" i="7"/>
  <c r="C34" i="7" s="1"/>
  <c r="B31" i="7"/>
  <c r="E31" i="7" s="1"/>
  <c r="B30" i="7"/>
  <c r="D30" i="7" s="1"/>
  <c r="B27" i="7"/>
  <c r="D27" i="7" s="1"/>
  <c r="B26" i="7"/>
  <c r="C26" i="7" s="1"/>
  <c r="B23" i="7"/>
  <c r="E23" i="7" s="1"/>
  <c r="B22" i="7"/>
  <c r="D22" i="7" s="1"/>
  <c r="B19" i="7"/>
  <c r="B18" i="7"/>
  <c r="C18" i="7" s="1"/>
  <c r="B15" i="7"/>
  <c r="E15" i="7" s="1"/>
  <c r="B11" i="7"/>
  <c r="C11" i="7" s="1"/>
  <c r="B7" i="7"/>
  <c r="D7" i="7" s="1"/>
  <c r="B6" i="7"/>
  <c r="C6" i="7" s="1"/>
  <c r="C90" i="7" l="1"/>
  <c r="C186" i="7"/>
  <c r="D162" i="7"/>
  <c r="C178" i="7"/>
  <c r="D178" i="7"/>
  <c r="D154" i="7"/>
  <c r="C162" i="7"/>
  <c r="C170" i="7"/>
  <c r="D78" i="7"/>
  <c r="C110" i="7"/>
  <c r="C174" i="7"/>
  <c r="D190" i="7"/>
  <c r="D82" i="7"/>
  <c r="D98" i="7"/>
  <c r="C182" i="7"/>
  <c r="C192" i="7"/>
  <c r="E170" i="7"/>
  <c r="E154" i="7"/>
  <c r="E182" i="7"/>
  <c r="D142" i="7"/>
  <c r="D158" i="7"/>
  <c r="C166" i="7"/>
  <c r="D174" i="7"/>
  <c r="C190" i="7"/>
  <c r="E158" i="7"/>
  <c r="E192" i="7"/>
  <c r="D62" i="7"/>
  <c r="C122" i="7"/>
  <c r="D46" i="7"/>
  <c r="D130" i="7"/>
  <c r="D50" i="7"/>
  <c r="C126" i="7"/>
  <c r="D138" i="7"/>
  <c r="D150" i="7"/>
  <c r="D38" i="7"/>
  <c r="C74" i="7"/>
  <c r="D94" i="7"/>
  <c r="C106" i="7"/>
  <c r="E18" i="7"/>
  <c r="D54" i="7"/>
  <c r="D70" i="7"/>
  <c r="D86" i="7"/>
  <c r="D102" i="7"/>
  <c r="D110" i="7"/>
  <c r="E30" i="7"/>
  <c r="E122" i="7"/>
  <c r="E130" i="7"/>
  <c r="E138" i="7"/>
  <c r="E146" i="7"/>
  <c r="D143" i="7"/>
  <c r="C30" i="7"/>
  <c r="D146" i="7"/>
  <c r="E22" i="7"/>
  <c r="E38" i="7"/>
  <c r="E46" i="7"/>
  <c r="E54" i="7"/>
  <c r="E62" i="7"/>
  <c r="E70" i="7"/>
  <c r="E78" i="7"/>
  <c r="E86" i="7"/>
  <c r="E94" i="7"/>
  <c r="E102" i="7"/>
  <c r="D19" i="7"/>
  <c r="E19" i="7"/>
  <c r="E35" i="7"/>
  <c r="C42" i="7"/>
  <c r="E42" i="7"/>
  <c r="D42" i="7"/>
  <c r="E27" i="7"/>
  <c r="C115" i="7"/>
  <c r="D26" i="7"/>
  <c r="C50" i="7"/>
  <c r="D58" i="7"/>
  <c r="D66" i="7"/>
  <c r="D74" i="7"/>
  <c r="C82" i="7"/>
  <c r="D90" i="7"/>
  <c r="C118" i="7"/>
  <c r="C134" i="7"/>
  <c r="C150" i="7"/>
  <c r="E26" i="7"/>
  <c r="E34" i="7"/>
  <c r="E58" i="7"/>
  <c r="E66" i="7"/>
  <c r="E98" i="7"/>
  <c r="E106" i="7"/>
  <c r="D115" i="7"/>
  <c r="E118" i="7"/>
  <c r="E126" i="7"/>
  <c r="E134" i="7"/>
  <c r="E142" i="7"/>
  <c r="D18" i="7"/>
  <c r="C22" i="7"/>
  <c r="D34" i="7"/>
  <c r="C15" i="7"/>
  <c r="C23" i="7"/>
  <c r="C31" i="7"/>
  <c r="C27" i="7"/>
  <c r="D31" i="7"/>
  <c r="D15" i="7"/>
  <c r="C19" i="7"/>
  <c r="D23" i="7"/>
  <c r="C35" i="7"/>
  <c r="C143" i="7"/>
  <c r="F143" i="7"/>
  <c r="C7" i="7"/>
  <c r="E7" i="7"/>
  <c r="D6" i="7"/>
  <c r="B4" i="7" l="1"/>
  <c r="B13" i="8"/>
  <c r="B12" i="8"/>
  <c r="B13" i="7" l="1"/>
  <c r="E13" i="7" s="1"/>
  <c r="B14" i="7"/>
  <c r="E14" i="7" s="1"/>
  <c r="B10" i="7"/>
  <c r="E10" i="7" s="1"/>
  <c r="B12" i="7"/>
  <c r="B5" i="7"/>
  <c r="B9" i="7"/>
  <c r="C9" i="7" s="1"/>
  <c r="B8" i="7"/>
  <c r="C6" i="9"/>
  <c r="N6" i="9"/>
  <c r="A9" i="9"/>
  <c r="H9" i="9"/>
  <c r="Q9" i="9"/>
  <c r="L10" i="9"/>
  <c r="E14" i="9"/>
  <c r="Z16" i="9"/>
  <c r="J17" i="9"/>
  <c r="A18" i="9"/>
  <c r="S19" i="9"/>
  <c r="S20" i="9" s="1"/>
  <c r="BD25" i="9"/>
  <c r="BG25" i="9"/>
  <c r="BJ25" i="9"/>
  <c r="BM25" i="9"/>
  <c r="BS25" i="9"/>
  <c r="CE25" i="9" s="1"/>
  <c r="BT25" i="9"/>
  <c r="CF25" i="9" s="1"/>
  <c r="BU25" i="9"/>
  <c r="CG25" i="9" s="1"/>
  <c r="BV25" i="9"/>
  <c r="CH25" i="9" s="1"/>
  <c r="BW25" i="9"/>
  <c r="CI25" i="9" s="1"/>
  <c r="BX25" i="9"/>
  <c r="CJ25" i="9" s="1"/>
  <c r="BY25" i="9"/>
  <c r="CK25" i="9" s="1"/>
  <c r="BZ25" i="9"/>
  <c r="CL25" i="9" s="1"/>
  <c r="CA25" i="9"/>
  <c r="CM25" i="9" s="1"/>
  <c r="CB25" i="9"/>
  <c r="CN25" i="9" s="1"/>
  <c r="CC25" i="9"/>
  <c r="CO25" i="9" s="1"/>
  <c r="CD25" i="9"/>
  <c r="CP25" i="9" s="1"/>
  <c r="U27" i="9"/>
  <c r="BD27" i="9"/>
  <c r="BE27" i="9"/>
  <c r="BF27" i="9"/>
  <c r="BG27" i="9"/>
  <c r="BH27" i="9"/>
  <c r="BI27" i="9"/>
  <c r="BJ27" i="9"/>
  <c r="BK27" i="9"/>
  <c r="BL27" i="9"/>
  <c r="BM27" i="9"/>
  <c r="BN27" i="9"/>
  <c r="BO27" i="9"/>
  <c r="BD31" i="9"/>
  <c r="BG31" i="9"/>
  <c r="BJ31" i="9"/>
  <c r="BM31" i="9"/>
  <c r="BS31" i="9"/>
  <c r="BT31" i="9"/>
  <c r="CF31" i="9" s="1"/>
  <c r="BU31" i="9"/>
  <c r="CG31" i="9" s="1"/>
  <c r="BV31" i="9"/>
  <c r="CH31" i="9" s="1"/>
  <c r="BW31" i="9"/>
  <c r="CI31" i="9" s="1"/>
  <c r="BX31" i="9"/>
  <c r="CJ31" i="9" s="1"/>
  <c r="BY31" i="9"/>
  <c r="CK31" i="9" s="1"/>
  <c r="BZ31" i="9"/>
  <c r="CL31" i="9" s="1"/>
  <c r="CA31" i="9"/>
  <c r="CM31" i="9" s="1"/>
  <c r="CB31" i="9"/>
  <c r="CN31" i="9" s="1"/>
  <c r="CC31" i="9"/>
  <c r="CO31" i="9" s="1"/>
  <c r="CD31" i="9"/>
  <c r="CP31" i="9" s="1"/>
  <c r="CE31" i="9"/>
  <c r="U33" i="9"/>
  <c r="BD33" i="9"/>
  <c r="BE33" i="9"/>
  <c r="BF33" i="9"/>
  <c r="BG33" i="9"/>
  <c r="BH33" i="9"/>
  <c r="BI33" i="9"/>
  <c r="BJ33" i="9"/>
  <c r="BK33" i="9"/>
  <c r="BL33" i="9"/>
  <c r="BM33" i="9"/>
  <c r="BN33" i="9"/>
  <c r="BO33" i="9"/>
  <c r="BD37" i="9"/>
  <c r="BG37" i="9"/>
  <c r="BJ37" i="9"/>
  <c r="BM37" i="9"/>
  <c r="BS37" i="9"/>
  <c r="CE37" i="9" s="1"/>
  <c r="BT37" i="9"/>
  <c r="CF37" i="9" s="1"/>
  <c r="BU37" i="9"/>
  <c r="CG37" i="9" s="1"/>
  <c r="BV37" i="9"/>
  <c r="CH37" i="9" s="1"/>
  <c r="BW37" i="9"/>
  <c r="CI37" i="9" s="1"/>
  <c r="BX37" i="9"/>
  <c r="CJ37" i="9" s="1"/>
  <c r="BY37" i="9"/>
  <c r="CK37" i="9" s="1"/>
  <c r="BZ37" i="9"/>
  <c r="CL37" i="9" s="1"/>
  <c r="CA37" i="9"/>
  <c r="CM37" i="9" s="1"/>
  <c r="CB37" i="9"/>
  <c r="CN37" i="9" s="1"/>
  <c r="CC37" i="9"/>
  <c r="CO37" i="9" s="1"/>
  <c r="CD37" i="9"/>
  <c r="CP37" i="9" s="1"/>
  <c r="U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D43" i="9"/>
  <c r="BG43" i="9"/>
  <c r="BJ43" i="9"/>
  <c r="BM43" i="9"/>
  <c r="BS43" i="9"/>
  <c r="BT43" i="9"/>
  <c r="BU43" i="9"/>
  <c r="BV43" i="9"/>
  <c r="BW43" i="9"/>
  <c r="BX43" i="9"/>
  <c r="CJ43" i="9" s="1"/>
  <c r="BY43" i="9"/>
  <c r="CK43" i="9" s="1"/>
  <c r="BZ43" i="9"/>
  <c r="CL43" i="9" s="1"/>
  <c r="CA43" i="9"/>
  <c r="CM43" i="9" s="1"/>
  <c r="CB43" i="9"/>
  <c r="CN43" i="9" s="1"/>
  <c r="CC43" i="9"/>
  <c r="CO43" i="9" s="1"/>
  <c r="CD43" i="9"/>
  <c r="CP43" i="9" s="1"/>
  <c r="CE43" i="9"/>
  <c r="CF43" i="9"/>
  <c r="CG43" i="9"/>
  <c r="CH43" i="9"/>
  <c r="CI43" i="9"/>
  <c r="U45" i="9"/>
  <c r="BD45" i="9"/>
  <c r="BE45" i="9"/>
  <c r="BF45" i="9"/>
  <c r="BG45" i="9"/>
  <c r="BH45" i="9"/>
  <c r="BI45" i="9"/>
  <c r="BJ45" i="9"/>
  <c r="BK45" i="9"/>
  <c r="BL45" i="9"/>
  <c r="BM45" i="9"/>
  <c r="BN45" i="9"/>
  <c r="BO45" i="9"/>
  <c r="BD49" i="9"/>
  <c r="BG49" i="9"/>
  <c r="BJ49" i="9"/>
  <c r="BM49" i="9"/>
  <c r="BS49" i="9"/>
  <c r="BT49" i="9"/>
  <c r="BU49" i="9"/>
  <c r="BV49" i="9"/>
  <c r="BW49" i="9"/>
  <c r="BX49" i="9"/>
  <c r="CJ49" i="9" s="1"/>
  <c r="BY49" i="9"/>
  <c r="CK49" i="9" s="1"/>
  <c r="BZ49" i="9"/>
  <c r="CL49" i="9" s="1"/>
  <c r="CA49" i="9"/>
  <c r="CM49" i="9" s="1"/>
  <c r="CB49" i="9"/>
  <c r="CN49" i="9" s="1"/>
  <c r="CC49" i="9"/>
  <c r="CO49" i="9" s="1"/>
  <c r="CD49" i="9"/>
  <c r="CP49" i="9" s="1"/>
  <c r="CE49" i="9"/>
  <c r="CF49" i="9"/>
  <c r="CG49" i="9"/>
  <c r="CH49" i="9"/>
  <c r="CI49" i="9"/>
  <c r="U51" i="9"/>
  <c r="BD51" i="9"/>
  <c r="BE51" i="9"/>
  <c r="BF51" i="9"/>
  <c r="BG51" i="9"/>
  <c r="BH51" i="9"/>
  <c r="BI51" i="9"/>
  <c r="BJ51" i="9"/>
  <c r="BK51" i="9"/>
  <c r="BL51" i="9"/>
  <c r="BM51" i="9"/>
  <c r="BN51" i="9"/>
  <c r="BO51" i="9"/>
  <c r="BD55" i="9"/>
  <c r="BG55" i="9"/>
  <c r="BJ55" i="9"/>
  <c r="BM55" i="9"/>
  <c r="BS55" i="9"/>
  <c r="BT55" i="9"/>
  <c r="BU55" i="9"/>
  <c r="CG55" i="9" s="1"/>
  <c r="BV55" i="9"/>
  <c r="CH55" i="9" s="1"/>
  <c r="BW55" i="9"/>
  <c r="CI55" i="9" s="1"/>
  <c r="BX55" i="9"/>
  <c r="CJ55" i="9" s="1"/>
  <c r="BY55" i="9"/>
  <c r="CK55" i="9" s="1"/>
  <c r="BZ55" i="9"/>
  <c r="CL55" i="9" s="1"/>
  <c r="CA55" i="9"/>
  <c r="CM55" i="9" s="1"/>
  <c r="CB55" i="9"/>
  <c r="CN55" i="9" s="1"/>
  <c r="CC55" i="9"/>
  <c r="CO55" i="9" s="1"/>
  <c r="CD55" i="9"/>
  <c r="CP55" i="9" s="1"/>
  <c r="CE55" i="9"/>
  <c r="CF55" i="9"/>
  <c r="U57" i="9"/>
  <c r="BD57" i="9"/>
  <c r="BE57" i="9"/>
  <c r="BF57" i="9"/>
  <c r="BG57" i="9"/>
  <c r="BH57" i="9"/>
  <c r="BI57" i="9"/>
  <c r="BJ57" i="9"/>
  <c r="BK57" i="9"/>
  <c r="BL57" i="9"/>
  <c r="BM57" i="9"/>
  <c r="BN57" i="9"/>
  <c r="BO57" i="9"/>
  <c r="BD61" i="9"/>
  <c r="BG61" i="9"/>
  <c r="BJ61" i="9"/>
  <c r="BM61" i="9"/>
  <c r="BS61" i="9"/>
  <c r="BT61" i="9"/>
  <c r="BU61" i="9"/>
  <c r="BV61" i="9"/>
  <c r="BW61" i="9"/>
  <c r="BX61" i="9"/>
  <c r="CJ61" i="9" s="1"/>
  <c r="BY61" i="9"/>
  <c r="CK61" i="9" s="1"/>
  <c r="BZ61" i="9"/>
  <c r="CL61" i="9" s="1"/>
  <c r="CA61" i="9"/>
  <c r="CM61" i="9" s="1"/>
  <c r="CB61" i="9"/>
  <c r="CN61" i="9" s="1"/>
  <c r="CC61" i="9"/>
  <c r="CO61" i="9" s="1"/>
  <c r="CD61" i="9"/>
  <c r="CP61" i="9" s="1"/>
  <c r="CE61" i="9"/>
  <c r="CF61" i="9"/>
  <c r="CG61" i="9"/>
  <c r="CH61" i="9"/>
  <c r="CI61" i="9"/>
  <c r="U63" i="9"/>
  <c r="BD63" i="9"/>
  <c r="BE63" i="9"/>
  <c r="BF63" i="9"/>
  <c r="BG63" i="9"/>
  <c r="BH63" i="9"/>
  <c r="BI63" i="9"/>
  <c r="BJ63" i="9"/>
  <c r="BK63" i="9"/>
  <c r="BL63" i="9"/>
  <c r="BM63" i="9"/>
  <c r="BN63" i="9"/>
  <c r="BO63" i="9"/>
  <c r="BD67" i="9"/>
  <c r="BG67" i="9"/>
  <c r="BJ67" i="9"/>
  <c r="BM67" i="9"/>
  <c r="BS67" i="9"/>
  <c r="BT67" i="9"/>
  <c r="BU67" i="9"/>
  <c r="BV67" i="9"/>
  <c r="BW67" i="9"/>
  <c r="BX67" i="9"/>
  <c r="BY67" i="9"/>
  <c r="CK67" i="9" s="1"/>
  <c r="BZ67" i="9"/>
  <c r="CL67" i="9" s="1"/>
  <c r="CA67" i="9"/>
  <c r="CM67" i="9" s="1"/>
  <c r="CB67" i="9"/>
  <c r="CN67" i="9" s="1"/>
  <c r="CC67" i="9"/>
  <c r="CO67" i="9" s="1"/>
  <c r="CD67" i="9"/>
  <c r="CP67" i="9" s="1"/>
  <c r="CE67" i="9"/>
  <c r="CF67" i="9"/>
  <c r="CG67" i="9"/>
  <c r="CH67" i="9"/>
  <c r="CI67" i="9"/>
  <c r="CJ67" i="9"/>
  <c r="U69" i="9"/>
  <c r="BD69" i="9"/>
  <c r="BE69" i="9"/>
  <c r="BF69" i="9"/>
  <c r="BG69" i="9"/>
  <c r="BH69" i="9"/>
  <c r="BI69" i="9"/>
  <c r="BJ69" i="9"/>
  <c r="BK69" i="9"/>
  <c r="BL69" i="9"/>
  <c r="BM69" i="9"/>
  <c r="BN69" i="9"/>
  <c r="BO69" i="9"/>
  <c r="BD73" i="9"/>
  <c r="BG73" i="9"/>
  <c r="BJ73" i="9"/>
  <c r="BM73" i="9"/>
  <c r="BS73" i="9"/>
  <c r="BT73" i="9"/>
  <c r="BU73" i="9"/>
  <c r="BV73" i="9"/>
  <c r="BW73" i="9"/>
  <c r="BX73" i="9"/>
  <c r="BY73" i="9"/>
  <c r="BZ73" i="9"/>
  <c r="CL73" i="9" s="1"/>
  <c r="CA73" i="9"/>
  <c r="CM73" i="9" s="1"/>
  <c r="CB73" i="9"/>
  <c r="CN73" i="9" s="1"/>
  <c r="CC73" i="9"/>
  <c r="CO73" i="9" s="1"/>
  <c r="CD73" i="9"/>
  <c r="CP73" i="9" s="1"/>
  <c r="CE73" i="9"/>
  <c r="CF73" i="9"/>
  <c r="CG73" i="9"/>
  <c r="CH73" i="9"/>
  <c r="CI73" i="9"/>
  <c r="CJ73" i="9"/>
  <c r="CK73" i="9"/>
  <c r="U75" i="9"/>
  <c r="BD75" i="9"/>
  <c r="BE75" i="9"/>
  <c r="BF75" i="9"/>
  <c r="BG75" i="9"/>
  <c r="BH75" i="9"/>
  <c r="BI75" i="9"/>
  <c r="BJ75" i="9"/>
  <c r="BK75" i="9"/>
  <c r="BL75" i="9"/>
  <c r="BM75" i="9"/>
  <c r="BN75" i="9"/>
  <c r="BO75" i="9"/>
  <c r="BD79" i="9"/>
  <c r="BG79" i="9"/>
  <c r="BJ79" i="9"/>
  <c r="BM79" i="9"/>
  <c r="BS79" i="9"/>
  <c r="CE79" i="9" s="1"/>
  <c r="BT79" i="9"/>
  <c r="CF79" i="9" s="1"/>
  <c r="BU79" i="9"/>
  <c r="CG79" i="9" s="1"/>
  <c r="BV79" i="9"/>
  <c r="CH79" i="9" s="1"/>
  <c r="BW79" i="9"/>
  <c r="CI79" i="9" s="1"/>
  <c r="BX79" i="9"/>
  <c r="CJ79" i="9" s="1"/>
  <c r="BY79" i="9"/>
  <c r="CK79" i="9" s="1"/>
  <c r="BZ79" i="9"/>
  <c r="CL79" i="9" s="1"/>
  <c r="CA79" i="9"/>
  <c r="CM79" i="9" s="1"/>
  <c r="CB79" i="9"/>
  <c r="CN79" i="9" s="1"/>
  <c r="CC79" i="9"/>
  <c r="CO79" i="9" s="1"/>
  <c r="CD79" i="9"/>
  <c r="CP79" i="9" s="1"/>
  <c r="U81" i="9"/>
  <c r="BD81" i="9"/>
  <c r="BE81" i="9"/>
  <c r="BF81" i="9"/>
  <c r="BG81" i="9"/>
  <c r="BH81" i="9"/>
  <c r="BI81" i="9"/>
  <c r="BJ81" i="9"/>
  <c r="BK81" i="9"/>
  <c r="BL81" i="9"/>
  <c r="BM81" i="9"/>
  <c r="BN81" i="9"/>
  <c r="BO81" i="9"/>
  <c r="BD85" i="9"/>
  <c r="BG85" i="9"/>
  <c r="BJ85" i="9"/>
  <c r="BM85" i="9"/>
  <c r="BS85" i="9"/>
  <c r="BT85" i="9"/>
  <c r="BU85" i="9"/>
  <c r="BV85" i="9"/>
  <c r="BW85" i="9"/>
  <c r="BX85" i="9"/>
  <c r="CJ85" i="9" s="1"/>
  <c r="BY85" i="9"/>
  <c r="CK85" i="9" s="1"/>
  <c r="BZ85" i="9"/>
  <c r="CL85" i="9" s="1"/>
  <c r="CA85" i="9"/>
  <c r="CM85" i="9" s="1"/>
  <c r="CB85" i="9"/>
  <c r="CN85" i="9" s="1"/>
  <c r="CC85" i="9"/>
  <c r="CO85" i="9" s="1"/>
  <c r="CD85" i="9"/>
  <c r="CP85" i="9" s="1"/>
  <c r="CE85" i="9"/>
  <c r="CF85" i="9"/>
  <c r="CG85" i="9"/>
  <c r="CH85" i="9"/>
  <c r="CI85" i="9"/>
  <c r="U87" i="9"/>
  <c r="BD87" i="9"/>
  <c r="BE87" i="9"/>
  <c r="BF87" i="9"/>
  <c r="BG87" i="9"/>
  <c r="BH87" i="9"/>
  <c r="BI87" i="9"/>
  <c r="BJ87" i="9"/>
  <c r="BK87" i="9"/>
  <c r="BL87" i="9"/>
  <c r="BM87" i="9"/>
  <c r="BN87" i="9"/>
  <c r="BO87" i="9"/>
  <c r="BD91" i="9"/>
  <c r="BG91" i="9"/>
  <c r="BJ91" i="9"/>
  <c r="BM91" i="9"/>
  <c r="BS91" i="9"/>
  <c r="BT91" i="9"/>
  <c r="BU91" i="9"/>
  <c r="BV91" i="9"/>
  <c r="BW91" i="9"/>
  <c r="CI91" i="9" s="1"/>
  <c r="BX91" i="9"/>
  <c r="CJ91" i="9" s="1"/>
  <c r="BY91" i="9"/>
  <c r="CK91" i="9" s="1"/>
  <c r="BZ91" i="9"/>
  <c r="CL91" i="9" s="1"/>
  <c r="CA91" i="9"/>
  <c r="CM91" i="9" s="1"/>
  <c r="CB91" i="9"/>
  <c r="CN91" i="9" s="1"/>
  <c r="CC91" i="9"/>
  <c r="CO91" i="9" s="1"/>
  <c r="CD91" i="9"/>
  <c r="CP91" i="9" s="1"/>
  <c r="CE91" i="9"/>
  <c r="CF91" i="9"/>
  <c r="CG91" i="9"/>
  <c r="CH91" i="9"/>
  <c r="U93" i="9"/>
  <c r="BD93" i="9"/>
  <c r="BE93" i="9"/>
  <c r="BF93" i="9"/>
  <c r="BG93" i="9"/>
  <c r="BH93" i="9"/>
  <c r="BI93" i="9"/>
  <c r="BJ93" i="9"/>
  <c r="BK93" i="9"/>
  <c r="BL93" i="9"/>
  <c r="BM93" i="9"/>
  <c r="BN93" i="9"/>
  <c r="BO93" i="9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I50" i="1"/>
  <c r="I49" i="1"/>
  <c r="I48" i="1"/>
  <c r="I47" i="1"/>
  <c r="I46" i="1"/>
  <c r="I45" i="1"/>
  <c r="I44" i="1"/>
  <c r="I43" i="1"/>
  <c r="I42" i="1"/>
  <c r="I41" i="1"/>
  <c r="I40" i="1"/>
  <c r="E39" i="1"/>
  <c r="D26" i="1"/>
  <c r="D33" i="8" s="1"/>
  <c r="P23" i="1"/>
  <c r="O23" i="1"/>
  <c r="N23" i="1"/>
  <c r="M23" i="1"/>
  <c r="L23" i="1"/>
  <c r="K23" i="1"/>
  <c r="B23" i="1"/>
  <c r="G26" i="1" s="1"/>
  <c r="B26" i="1" l="1"/>
  <c r="G23" i="1"/>
  <c r="B21" i="8"/>
  <c r="E2" i="8"/>
  <c r="BQ33" i="9"/>
  <c r="BP39" i="9"/>
  <c r="BP75" i="9"/>
  <c r="BP69" i="9"/>
  <c r="H51" i="1"/>
  <c r="BK97" i="9"/>
  <c r="BQ93" i="9"/>
  <c r="BP87" i="9"/>
  <c r="BQ81" i="9"/>
  <c r="BQ63" i="9"/>
  <c r="BP57" i="9"/>
  <c r="BP51" i="9"/>
  <c r="BZ97" i="9"/>
  <c r="BQ45" i="9"/>
  <c r="BP27" i="9"/>
  <c r="BE97" i="9"/>
  <c r="CO98" i="9"/>
  <c r="CK98" i="9"/>
  <c r="CG98" i="9"/>
  <c r="C13" i="7"/>
  <c r="D13" i="7"/>
  <c r="CM98" i="9"/>
  <c r="CI98" i="9"/>
  <c r="CE98" i="9"/>
  <c r="D14" i="7"/>
  <c r="C14" i="7"/>
  <c r="D5" i="7"/>
  <c r="C5" i="7"/>
  <c r="C10" i="7"/>
  <c r="D10" i="7"/>
  <c r="H23" i="1"/>
  <c r="CP98" i="9"/>
  <c r="CN98" i="9"/>
  <c r="CL98" i="9"/>
  <c r="CJ98" i="9"/>
  <c r="CH98" i="9"/>
  <c r="CF98" i="9"/>
  <c r="BN97" i="9"/>
  <c r="BH97" i="9"/>
  <c r="CD97" i="9"/>
  <c r="CB97" i="9"/>
  <c r="BX97" i="9"/>
  <c r="BV97" i="9"/>
  <c r="BT97" i="9"/>
  <c r="BQ87" i="9"/>
  <c r="BQ75" i="9"/>
  <c r="BQ57" i="9"/>
  <c r="BR57" i="9"/>
  <c r="A39" i="1"/>
  <c r="D23" i="1"/>
  <c r="BP93" i="9"/>
  <c r="BR93" i="9"/>
  <c r="BR87" i="9"/>
  <c r="BP81" i="9"/>
  <c r="BR81" i="9"/>
  <c r="CC97" i="9"/>
  <c r="CA97" i="9"/>
  <c r="BY97" i="9"/>
  <c r="BW97" i="9"/>
  <c r="BU97" i="9"/>
  <c r="BS97" i="9"/>
  <c r="BR75" i="9"/>
  <c r="BQ69" i="9"/>
  <c r="BR69" i="9"/>
  <c r="BQ51" i="9"/>
  <c r="BR51" i="9"/>
  <c r="BQ39" i="9"/>
  <c r="BQ27" i="9"/>
  <c r="BP63" i="9"/>
  <c r="BR63" i="9"/>
  <c r="BP45" i="9"/>
  <c r="BR45" i="9"/>
  <c r="BR39" i="9"/>
  <c r="BP33" i="9"/>
  <c r="BR33" i="9"/>
  <c r="BR27" i="9"/>
  <c r="I23" i="1"/>
  <c r="E23" i="1"/>
  <c r="C23" i="1"/>
  <c r="F23" i="1"/>
  <c r="J23" i="1"/>
  <c r="B88" i="1"/>
  <c r="B66" i="1"/>
  <c r="D39" i="1"/>
  <c r="A66" i="1"/>
  <c r="A88" i="1"/>
  <c r="BE98" i="9" l="1"/>
  <c r="BQ97" i="9"/>
  <c r="B39" i="1"/>
  <c r="B22" i="8"/>
  <c r="C39" i="1"/>
  <c r="B23" i="8"/>
  <c r="BR97" i="9"/>
  <c r="BR99" i="9"/>
  <c r="BP97" i="9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48" i="1"/>
  <c r="A146" i="1"/>
  <c r="A142" i="1"/>
  <c r="A138" i="1"/>
  <c r="A136" i="1"/>
  <c r="A132" i="1"/>
  <c r="A130" i="1"/>
  <c r="A126" i="1"/>
  <c r="A122" i="1"/>
  <c r="A120" i="1"/>
  <c r="A116" i="1"/>
  <c r="A112" i="1"/>
  <c r="A110" i="1"/>
  <c r="A106" i="1"/>
  <c r="A104" i="1"/>
  <c r="A100" i="1"/>
  <c r="A96" i="1"/>
  <c r="A92" i="1"/>
  <c r="A158" i="1"/>
  <c r="A156" i="1"/>
  <c r="A154" i="1"/>
  <c r="A152" i="1"/>
  <c r="A150" i="1"/>
  <c r="A144" i="1"/>
  <c r="A140" i="1"/>
  <c r="A134" i="1"/>
  <c r="A128" i="1"/>
  <c r="A124" i="1"/>
  <c r="A118" i="1"/>
  <c r="A114" i="1"/>
  <c r="A108" i="1"/>
  <c r="A102" i="1"/>
  <c r="A98" i="1"/>
  <c r="A94" i="1"/>
  <c r="A90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47" i="1"/>
  <c r="B145" i="1"/>
  <c r="B141" i="1"/>
  <c r="B137" i="1"/>
  <c r="B135" i="1"/>
  <c r="B131" i="1"/>
  <c r="B129" i="1"/>
  <c r="B125" i="1"/>
  <c r="B121" i="1"/>
  <c r="B119" i="1"/>
  <c r="B115" i="1"/>
  <c r="B111" i="1"/>
  <c r="B109" i="1"/>
  <c r="B105" i="1"/>
  <c r="B103" i="1"/>
  <c r="B99" i="1"/>
  <c r="B95" i="1"/>
  <c r="B157" i="1"/>
  <c r="B155" i="1"/>
  <c r="B153" i="1"/>
  <c r="B151" i="1"/>
  <c r="B149" i="1"/>
  <c r="B143" i="1"/>
  <c r="B139" i="1"/>
  <c r="B133" i="1"/>
  <c r="B127" i="1"/>
  <c r="B123" i="1"/>
  <c r="B117" i="1"/>
  <c r="B113" i="1"/>
  <c r="B107" i="1"/>
  <c r="B101" i="1"/>
  <c r="B97" i="1"/>
  <c r="B93" i="1"/>
  <c r="B91" i="1"/>
  <c r="B89" i="1"/>
  <c r="A77" i="1"/>
  <c r="A75" i="1"/>
  <c r="A73" i="1"/>
  <c r="A71" i="1"/>
  <c r="A69" i="1"/>
  <c r="A67" i="1"/>
  <c r="A76" i="1"/>
  <c r="A74" i="1"/>
  <c r="A72" i="1"/>
  <c r="A70" i="1"/>
  <c r="A68" i="1"/>
  <c r="B76" i="1"/>
  <c r="B74" i="1"/>
  <c r="B72" i="1"/>
  <c r="B70" i="1"/>
  <c r="B68" i="1"/>
  <c r="B77" i="1"/>
  <c r="B75" i="1"/>
  <c r="B73" i="1"/>
  <c r="B71" i="1"/>
  <c r="B69" i="1"/>
  <c r="B67" i="1"/>
  <c r="Y98" i="9" l="1"/>
  <c r="F10" i="8"/>
  <c r="K194" i="7"/>
  <c r="B194" i="7"/>
  <c r="E194" i="7" s="1"/>
  <c r="B193" i="7"/>
  <c r="E193" i="7" s="1"/>
  <c r="B189" i="7"/>
  <c r="E189" i="7" s="1"/>
  <c r="B188" i="7"/>
  <c r="B185" i="7"/>
  <c r="B184" i="7"/>
  <c r="F184" i="7" s="1"/>
  <c r="B183" i="7"/>
  <c r="E183" i="7" s="1"/>
  <c r="B181" i="7"/>
  <c r="E181" i="7" s="1"/>
  <c r="B180" i="7"/>
  <c r="F180" i="7" s="1"/>
  <c r="B177" i="7"/>
  <c r="E177" i="7" s="1"/>
  <c r="B176" i="7"/>
  <c r="F176" i="7" s="1"/>
  <c r="B173" i="7"/>
  <c r="E173" i="7" s="1"/>
  <c r="B172" i="7"/>
  <c r="B169" i="7"/>
  <c r="E169" i="7" s="1"/>
  <c r="B168" i="7"/>
  <c r="F168" i="7" s="1"/>
  <c r="B165" i="7"/>
  <c r="E165" i="7" s="1"/>
  <c r="B164" i="7"/>
  <c r="F164" i="7" s="1"/>
  <c r="B161" i="7"/>
  <c r="E161" i="7" s="1"/>
  <c r="B160" i="7"/>
  <c r="B157" i="7"/>
  <c r="E157" i="7" s="1"/>
  <c r="B156" i="7"/>
  <c r="B153" i="7"/>
  <c r="E153" i="7" s="1"/>
  <c r="B152" i="7"/>
  <c r="B149" i="7"/>
  <c r="E149" i="7" s="1"/>
  <c r="B148" i="7"/>
  <c r="B145" i="7"/>
  <c r="E145" i="7" s="1"/>
  <c r="B144" i="7"/>
  <c r="F144" i="7" s="1"/>
  <c r="B141" i="7"/>
  <c r="E141" i="7" s="1"/>
  <c r="B140" i="7"/>
  <c r="F140" i="7" s="1"/>
  <c r="B137" i="7"/>
  <c r="E137" i="7" s="1"/>
  <c r="B136" i="7"/>
  <c r="F136" i="7" s="1"/>
  <c r="B133" i="7"/>
  <c r="E133" i="7" s="1"/>
  <c r="B132" i="7"/>
  <c r="D132" i="7" s="1"/>
  <c r="B129" i="7"/>
  <c r="E129" i="7" s="1"/>
  <c r="B128" i="7"/>
  <c r="D128" i="7" s="1"/>
  <c r="B125" i="7"/>
  <c r="E125" i="7" s="1"/>
  <c r="B124" i="7"/>
  <c r="D124" i="7" s="1"/>
  <c r="B121" i="7"/>
  <c r="E121" i="7" s="1"/>
  <c r="B120" i="7"/>
  <c r="D120" i="7" s="1"/>
  <c r="B117" i="7"/>
  <c r="E117" i="7" s="1"/>
  <c r="B116" i="7"/>
  <c r="D116" i="7" s="1"/>
  <c r="B114" i="7"/>
  <c r="B113" i="7"/>
  <c r="B112" i="7"/>
  <c r="D112" i="7" s="1"/>
  <c r="B109" i="7"/>
  <c r="E109" i="7" s="1"/>
  <c r="B108" i="7"/>
  <c r="D108" i="7" s="1"/>
  <c r="B105" i="7"/>
  <c r="E105" i="7" s="1"/>
  <c r="B104" i="7"/>
  <c r="D104" i="7" s="1"/>
  <c r="B101" i="7"/>
  <c r="E101" i="7" s="1"/>
  <c r="B100" i="7"/>
  <c r="D100" i="7" s="1"/>
  <c r="B97" i="7"/>
  <c r="E97" i="7" s="1"/>
  <c r="B96" i="7"/>
  <c r="D96" i="7" s="1"/>
  <c r="B93" i="7"/>
  <c r="E93" i="7" s="1"/>
  <c r="B92" i="7"/>
  <c r="D92" i="7" s="1"/>
  <c r="B89" i="7"/>
  <c r="E89" i="7" s="1"/>
  <c r="B88" i="7"/>
  <c r="D88" i="7" s="1"/>
  <c r="B85" i="7"/>
  <c r="E85" i="7" s="1"/>
  <c r="B84" i="7"/>
  <c r="D84" i="7" s="1"/>
  <c r="B81" i="7"/>
  <c r="E81" i="7" s="1"/>
  <c r="B80" i="7"/>
  <c r="D80" i="7" s="1"/>
  <c r="B77" i="7"/>
  <c r="E77" i="7" s="1"/>
  <c r="B76" i="7"/>
  <c r="D76" i="7" s="1"/>
  <c r="B73" i="7"/>
  <c r="E73" i="7" s="1"/>
  <c r="B72" i="7"/>
  <c r="D72" i="7" s="1"/>
  <c r="B69" i="7"/>
  <c r="E69" i="7" s="1"/>
  <c r="B68" i="7"/>
  <c r="D68" i="7" s="1"/>
  <c r="B65" i="7"/>
  <c r="E65" i="7" s="1"/>
  <c r="B64" i="7"/>
  <c r="D64" i="7" s="1"/>
  <c r="B61" i="7"/>
  <c r="E61" i="7" s="1"/>
  <c r="B60" i="7"/>
  <c r="D60" i="7" s="1"/>
  <c r="B57" i="7"/>
  <c r="E57" i="7" s="1"/>
  <c r="B56" i="7"/>
  <c r="D56" i="7" s="1"/>
  <c r="B53" i="7"/>
  <c r="E53" i="7" s="1"/>
  <c r="B52" i="7"/>
  <c r="D52" i="7" s="1"/>
  <c r="B49" i="7"/>
  <c r="E49" i="7" s="1"/>
  <c r="B48" i="7"/>
  <c r="D48" i="7" s="1"/>
  <c r="B45" i="7"/>
  <c r="E45" i="7" s="1"/>
  <c r="B44" i="7"/>
  <c r="D44" i="7" s="1"/>
  <c r="B41" i="7"/>
  <c r="E41" i="7" s="1"/>
  <c r="B40" i="7"/>
  <c r="E40" i="7" s="1"/>
  <c r="B37" i="7"/>
  <c r="E37" i="7" s="1"/>
  <c r="B36" i="7"/>
  <c r="F36" i="7" s="1"/>
  <c r="B33" i="7"/>
  <c r="E33" i="7" s="1"/>
  <c r="B32" i="7"/>
  <c r="E32" i="7" s="1"/>
  <c r="F31" i="7"/>
  <c r="B29" i="7"/>
  <c r="E29" i="7" s="1"/>
  <c r="B28" i="7"/>
  <c r="F28" i="7" s="1"/>
  <c r="B25" i="7"/>
  <c r="E25" i="7" s="1"/>
  <c r="B24" i="7"/>
  <c r="E24" i="7" s="1"/>
  <c r="F23" i="7"/>
  <c r="B21" i="7"/>
  <c r="E21" i="7" s="1"/>
  <c r="B20" i="7"/>
  <c r="F20" i="7" s="1"/>
  <c r="B17" i="7"/>
  <c r="E17" i="7" s="1"/>
  <c r="B16" i="7"/>
  <c r="D12" i="7"/>
  <c r="D11" i="7"/>
  <c r="D9" i="7"/>
  <c r="D8" i="7"/>
  <c r="N2" i="6"/>
  <c r="O2" i="6"/>
  <c r="E113" i="7" l="1"/>
  <c r="D113" i="7"/>
  <c r="C113" i="7"/>
  <c r="D114" i="7"/>
  <c r="E114" i="7"/>
  <c r="C114" i="7"/>
  <c r="D16" i="7"/>
  <c r="E16" i="7"/>
  <c r="F25" i="7"/>
  <c r="D25" i="7"/>
  <c r="C25" i="7"/>
  <c r="C29" i="7"/>
  <c r="D29" i="7"/>
  <c r="C39" i="7"/>
  <c r="D39" i="7"/>
  <c r="D41" i="7"/>
  <c r="C41" i="7"/>
  <c r="C47" i="7"/>
  <c r="D47" i="7"/>
  <c r="D49" i="7"/>
  <c r="C49" i="7"/>
  <c r="C55" i="7"/>
  <c r="D55" i="7"/>
  <c r="D57" i="7"/>
  <c r="C57" i="7"/>
  <c r="C63" i="7"/>
  <c r="D63" i="7"/>
  <c r="D65" i="7"/>
  <c r="C65" i="7"/>
  <c r="C71" i="7"/>
  <c r="D71" i="7"/>
  <c r="D73" i="7"/>
  <c r="C73" i="7"/>
  <c r="C79" i="7"/>
  <c r="D79" i="7"/>
  <c r="C81" i="7"/>
  <c r="D81" i="7"/>
  <c r="D87" i="7"/>
  <c r="C87" i="7"/>
  <c r="C89" i="7"/>
  <c r="D89" i="7"/>
  <c r="D95" i="7"/>
  <c r="C95" i="7"/>
  <c r="C97" i="7"/>
  <c r="D97" i="7"/>
  <c r="D103" i="7"/>
  <c r="C103" i="7"/>
  <c r="C105" i="7"/>
  <c r="D105" i="7"/>
  <c r="D111" i="7"/>
  <c r="C111" i="7"/>
  <c r="D119" i="7"/>
  <c r="C119" i="7"/>
  <c r="C121" i="7"/>
  <c r="D121" i="7"/>
  <c r="D127" i="7"/>
  <c r="C127" i="7"/>
  <c r="C129" i="7"/>
  <c r="D129" i="7"/>
  <c r="D135" i="7"/>
  <c r="C135" i="7"/>
  <c r="C137" i="7"/>
  <c r="D137" i="7"/>
  <c r="C147" i="7"/>
  <c r="D147" i="7"/>
  <c r="F149" i="7"/>
  <c r="D149" i="7"/>
  <c r="C149" i="7"/>
  <c r="F155" i="7"/>
  <c r="C155" i="7"/>
  <c r="D155" i="7"/>
  <c r="D157" i="7"/>
  <c r="C157" i="7"/>
  <c r="F163" i="7"/>
  <c r="C163" i="7"/>
  <c r="D163" i="7"/>
  <c r="D165" i="7"/>
  <c r="C165" i="7"/>
  <c r="F171" i="7"/>
  <c r="C171" i="7"/>
  <c r="D171" i="7"/>
  <c r="F173" i="7"/>
  <c r="D173" i="7"/>
  <c r="C173" i="7"/>
  <c r="C179" i="7"/>
  <c r="D179" i="7"/>
  <c r="F181" i="7"/>
  <c r="D181" i="7"/>
  <c r="C181" i="7"/>
  <c r="F185" i="7"/>
  <c r="F205" i="7" s="1"/>
  <c r="C185" i="7"/>
  <c r="D185" i="7"/>
  <c r="F191" i="7"/>
  <c r="D191" i="7"/>
  <c r="C191" i="7"/>
  <c r="C194" i="7"/>
  <c r="D194" i="7"/>
  <c r="F195" i="7"/>
  <c r="D195" i="7"/>
  <c r="C195" i="7"/>
  <c r="D17" i="7"/>
  <c r="C17" i="7"/>
  <c r="C21" i="7"/>
  <c r="D21" i="7"/>
  <c r="F33" i="7"/>
  <c r="D33" i="7"/>
  <c r="C33" i="7"/>
  <c r="C37" i="7"/>
  <c r="D37" i="7"/>
  <c r="D43" i="7"/>
  <c r="C43" i="7"/>
  <c r="C45" i="7"/>
  <c r="D45" i="7"/>
  <c r="D51" i="7"/>
  <c r="C51" i="7"/>
  <c r="C53" i="7"/>
  <c r="D53" i="7"/>
  <c r="D59" i="7"/>
  <c r="C59" i="7"/>
  <c r="C61" i="7"/>
  <c r="D61" i="7"/>
  <c r="D67" i="7"/>
  <c r="C67" i="7"/>
  <c r="C69" i="7"/>
  <c r="D69" i="7"/>
  <c r="D75" i="7"/>
  <c r="C75" i="7"/>
  <c r="C77" i="7"/>
  <c r="D77" i="7"/>
  <c r="D204" i="7" s="1"/>
  <c r="C83" i="7"/>
  <c r="D83" i="7"/>
  <c r="D85" i="7"/>
  <c r="C85" i="7"/>
  <c r="C91" i="7"/>
  <c r="D91" i="7"/>
  <c r="D93" i="7"/>
  <c r="C93" i="7"/>
  <c r="C99" i="7"/>
  <c r="D99" i="7"/>
  <c r="D101" i="7"/>
  <c r="C101" i="7"/>
  <c r="C107" i="7"/>
  <c r="D107" i="7"/>
  <c r="D109" i="7"/>
  <c r="C109" i="7"/>
  <c r="D117" i="7"/>
  <c r="C117" i="7"/>
  <c r="C123" i="7"/>
  <c r="D123" i="7"/>
  <c r="D125" i="7"/>
  <c r="C125" i="7"/>
  <c r="C131" i="7"/>
  <c r="D131" i="7"/>
  <c r="D133" i="7"/>
  <c r="C133" i="7"/>
  <c r="C139" i="7"/>
  <c r="D139" i="7"/>
  <c r="D141" i="7"/>
  <c r="C141" i="7"/>
  <c r="F145" i="7"/>
  <c r="C145" i="7"/>
  <c r="D145" i="7"/>
  <c r="F151" i="7"/>
  <c r="D151" i="7"/>
  <c r="C151" i="7"/>
  <c r="F153" i="7"/>
  <c r="C153" i="7"/>
  <c r="D153" i="7"/>
  <c r="F159" i="7"/>
  <c r="D159" i="7"/>
  <c r="C159" i="7"/>
  <c r="C161" i="7"/>
  <c r="D161" i="7"/>
  <c r="D167" i="7"/>
  <c r="C167" i="7"/>
  <c r="F169" i="7"/>
  <c r="C169" i="7"/>
  <c r="D169" i="7"/>
  <c r="F175" i="7"/>
  <c r="D175" i="7"/>
  <c r="C175" i="7"/>
  <c r="C177" i="7"/>
  <c r="D177" i="7"/>
  <c r="D183" i="7"/>
  <c r="C183" i="7"/>
  <c r="F187" i="7"/>
  <c r="C187" i="7"/>
  <c r="D187" i="7"/>
  <c r="D189" i="7"/>
  <c r="C189" i="7"/>
  <c r="F193" i="7"/>
  <c r="D193" i="7"/>
  <c r="C193" i="7"/>
  <c r="I210" i="7"/>
  <c r="C12" i="7"/>
  <c r="C168" i="7"/>
  <c r="C176" i="7"/>
  <c r="C28" i="7"/>
  <c r="C4" i="7"/>
  <c r="C20" i="7"/>
  <c r="C36" i="7"/>
  <c r="F133" i="7"/>
  <c r="F179" i="7"/>
  <c r="K199" i="7"/>
  <c r="F200" i="7"/>
  <c r="G201" i="7"/>
  <c r="I202" i="7"/>
  <c r="K203" i="7"/>
  <c r="G205" i="7"/>
  <c r="I206" i="7"/>
  <c r="K207" i="7"/>
  <c r="F208" i="7"/>
  <c r="G209" i="7"/>
  <c r="D4" i="7"/>
  <c r="K210" i="7"/>
  <c r="G210" i="7"/>
  <c r="I209" i="7"/>
  <c r="K208" i="7"/>
  <c r="G208" i="7"/>
  <c r="I207" i="7"/>
  <c r="K206" i="7"/>
  <c r="G206" i="7"/>
  <c r="I205" i="7"/>
  <c r="K204" i="7"/>
  <c r="G204" i="7"/>
  <c r="I203" i="7"/>
  <c r="K202" i="7"/>
  <c r="G202" i="7"/>
  <c r="I201" i="7"/>
  <c r="K200" i="7"/>
  <c r="G200" i="7"/>
  <c r="I199" i="7"/>
  <c r="F148" i="7"/>
  <c r="C148" i="7"/>
  <c r="F156" i="7"/>
  <c r="C156" i="7"/>
  <c r="F165" i="7"/>
  <c r="F199" i="7" s="1"/>
  <c r="F189" i="7"/>
  <c r="G199" i="7"/>
  <c r="I200" i="7"/>
  <c r="K201" i="7"/>
  <c r="F202" i="7"/>
  <c r="G203" i="7"/>
  <c r="I204" i="7"/>
  <c r="K205" i="7"/>
  <c r="G207" i="7"/>
  <c r="I208" i="7"/>
  <c r="K209" i="7"/>
  <c r="F210" i="7"/>
  <c r="E136" i="7"/>
  <c r="E140" i="7"/>
  <c r="E5" i="7"/>
  <c r="E8" i="7"/>
  <c r="E11" i="7"/>
  <c r="E4" i="7"/>
  <c r="E6" i="7"/>
  <c r="C8" i="7"/>
  <c r="E9" i="7"/>
  <c r="E199" i="7" s="1"/>
  <c r="E12" i="7"/>
  <c r="C16" i="7"/>
  <c r="E20" i="7"/>
  <c r="E28" i="7"/>
  <c r="E36" i="7"/>
  <c r="C136" i="7"/>
  <c r="F139" i="7"/>
  <c r="C140" i="7"/>
  <c r="E148" i="7"/>
  <c r="E156" i="7"/>
  <c r="E168" i="7"/>
  <c r="E176" i="7"/>
  <c r="C184" i="7"/>
  <c r="F21" i="7"/>
  <c r="D24" i="7"/>
  <c r="F24" i="7"/>
  <c r="F27" i="7"/>
  <c r="F29" i="7"/>
  <c r="F203" i="7" s="1"/>
  <c r="D32" i="7"/>
  <c r="F32" i="7"/>
  <c r="F35" i="7"/>
  <c r="D40" i="7"/>
  <c r="E152" i="7"/>
  <c r="C152" i="7"/>
  <c r="D152" i="7"/>
  <c r="E172" i="7"/>
  <c r="C172" i="7"/>
  <c r="D172" i="7"/>
  <c r="E188" i="7"/>
  <c r="C188" i="7"/>
  <c r="D188" i="7"/>
  <c r="D20" i="7"/>
  <c r="C24" i="7"/>
  <c r="D28" i="7"/>
  <c r="C32" i="7"/>
  <c r="D36" i="7"/>
  <c r="C40" i="7"/>
  <c r="E44" i="7"/>
  <c r="C44" i="7"/>
  <c r="E48" i="7"/>
  <c r="C48" i="7"/>
  <c r="E52" i="7"/>
  <c r="C52" i="7"/>
  <c r="E56" i="7"/>
  <c r="C56" i="7"/>
  <c r="E60" i="7"/>
  <c r="C60" i="7"/>
  <c r="E64" i="7"/>
  <c r="C64" i="7"/>
  <c r="E68" i="7"/>
  <c r="C68" i="7"/>
  <c r="E72" i="7"/>
  <c r="C72" i="7"/>
  <c r="E76" i="7"/>
  <c r="E207" i="7" s="1"/>
  <c r="C76" i="7"/>
  <c r="E80" i="7"/>
  <c r="E208" i="7" s="1"/>
  <c r="C80" i="7"/>
  <c r="E84" i="7"/>
  <c r="C84" i="7"/>
  <c r="E88" i="7"/>
  <c r="E209" i="7" s="1"/>
  <c r="C88" i="7"/>
  <c r="E92" i="7"/>
  <c r="C92" i="7"/>
  <c r="E96" i="7"/>
  <c r="C96" i="7"/>
  <c r="E100" i="7"/>
  <c r="C100" i="7"/>
  <c r="E104" i="7"/>
  <c r="C104" i="7"/>
  <c r="E108" i="7"/>
  <c r="E201" i="7" s="1"/>
  <c r="C108" i="7"/>
  <c r="E112" i="7"/>
  <c r="C112" i="7"/>
  <c r="E116" i="7"/>
  <c r="C116" i="7"/>
  <c r="E120" i="7"/>
  <c r="C120" i="7"/>
  <c r="E124" i="7"/>
  <c r="C124" i="7"/>
  <c r="E128" i="7"/>
  <c r="C128" i="7"/>
  <c r="E132" i="7"/>
  <c r="C132" i="7"/>
  <c r="F132" i="7"/>
  <c r="F135" i="7"/>
  <c r="F137" i="7"/>
  <c r="F141" i="7"/>
  <c r="E144" i="7"/>
  <c r="C144" i="7"/>
  <c r="D144" i="7"/>
  <c r="F147" i="7"/>
  <c r="F152" i="7"/>
  <c r="F157" i="7"/>
  <c r="E160" i="7"/>
  <c r="C160" i="7"/>
  <c r="D160" i="7"/>
  <c r="F161" i="7"/>
  <c r="E164" i="7"/>
  <c r="C164" i="7"/>
  <c r="D164" i="7"/>
  <c r="F167" i="7"/>
  <c r="F172" i="7"/>
  <c r="F177" i="7"/>
  <c r="E180" i="7"/>
  <c r="E205" i="7" s="1"/>
  <c r="C180" i="7"/>
  <c r="D180" i="7"/>
  <c r="F183" i="7"/>
  <c r="F188" i="7"/>
  <c r="F194" i="7"/>
  <c r="D136" i="7"/>
  <c r="D140" i="7"/>
  <c r="D148" i="7"/>
  <c r="D156" i="7"/>
  <c r="D168" i="7"/>
  <c r="D176" i="7"/>
  <c r="D184" i="7"/>
  <c r="D208" i="7" l="1"/>
  <c r="D200" i="7"/>
  <c r="E67" i="10" s="1"/>
  <c r="E203" i="7"/>
  <c r="F70" i="1" s="1"/>
  <c r="E206" i="7"/>
  <c r="F73" i="1" s="1"/>
  <c r="E204" i="7"/>
  <c r="F71" i="1" s="1"/>
  <c r="D203" i="7"/>
  <c r="E70" i="1" s="1"/>
  <c r="E200" i="7"/>
  <c r="F67" i="1" s="1"/>
  <c r="C200" i="7"/>
  <c r="D67" i="1" s="1"/>
  <c r="F207" i="7"/>
  <c r="D207" i="7"/>
  <c r="E74" i="10" s="1"/>
  <c r="D209" i="7"/>
  <c r="E76" i="10" s="1"/>
  <c r="F209" i="7"/>
  <c r="D210" i="7"/>
  <c r="E77" i="1" s="1"/>
  <c r="C210" i="7"/>
  <c r="D77" i="10" s="1"/>
  <c r="D206" i="7"/>
  <c r="E73" i="10" s="1"/>
  <c r="E202" i="7"/>
  <c r="F69" i="10" s="1"/>
  <c r="D201" i="7"/>
  <c r="E68" i="1" s="1"/>
  <c r="F201" i="7"/>
  <c r="C205" i="7"/>
  <c r="D72" i="1" s="1"/>
  <c r="F206" i="7"/>
  <c r="F204" i="7"/>
  <c r="C207" i="7"/>
  <c r="D74" i="10" s="1"/>
  <c r="C208" i="7"/>
  <c r="D75" i="1" s="1"/>
  <c r="C206" i="7"/>
  <c r="D73" i="10" s="1"/>
  <c r="C202" i="7"/>
  <c r="D69" i="10" s="1"/>
  <c r="D205" i="7"/>
  <c r="E72" i="10" s="1"/>
  <c r="D202" i="7"/>
  <c r="E69" i="1" s="1"/>
  <c r="C204" i="7"/>
  <c r="D71" i="1" s="1"/>
  <c r="C203" i="7"/>
  <c r="D70" i="1" s="1"/>
  <c r="C209" i="7"/>
  <c r="D76" i="1" s="1"/>
  <c r="E210" i="7"/>
  <c r="F77" i="1" s="1"/>
  <c r="F72" i="1"/>
  <c r="F72" i="10"/>
  <c r="F68" i="1"/>
  <c r="F68" i="10"/>
  <c r="F76" i="1"/>
  <c r="F76" i="10"/>
  <c r="F75" i="1"/>
  <c r="F75" i="10"/>
  <c r="F74" i="1"/>
  <c r="F74" i="10"/>
  <c r="E75" i="1"/>
  <c r="E75" i="10"/>
  <c r="E67" i="1"/>
  <c r="E74" i="1"/>
  <c r="E71" i="1"/>
  <c r="E71" i="10"/>
  <c r="AT99" i="9"/>
  <c r="AU27" i="9" s="1"/>
  <c r="D199" i="7"/>
  <c r="C201" i="7"/>
  <c r="C199" i="7"/>
  <c r="D66" i="1" s="1"/>
  <c r="F73" i="10" l="1"/>
  <c r="F70" i="10"/>
  <c r="E70" i="10"/>
  <c r="F67" i="10"/>
  <c r="F71" i="10"/>
  <c r="D67" i="10"/>
  <c r="E76" i="1"/>
  <c r="E77" i="10"/>
  <c r="D77" i="1"/>
  <c r="F69" i="1"/>
  <c r="E73" i="1"/>
  <c r="E68" i="10"/>
  <c r="D74" i="1"/>
  <c r="D75" i="10"/>
  <c r="D72" i="10"/>
  <c r="E72" i="1"/>
  <c r="E69" i="10"/>
  <c r="D69" i="1"/>
  <c r="D71" i="10"/>
  <c r="D73" i="1"/>
  <c r="D70" i="10"/>
  <c r="D76" i="10"/>
  <c r="AU33" i="9"/>
  <c r="AV27" i="9"/>
  <c r="F77" i="10"/>
  <c r="F66" i="1"/>
  <c r="F66" i="10"/>
  <c r="D66" i="10"/>
  <c r="D68" i="1"/>
  <c r="D68" i="10"/>
  <c r="E66" i="1"/>
  <c r="E66" i="10"/>
  <c r="AV33" i="9" l="1"/>
  <c r="AU39" i="9"/>
  <c r="AV39" i="9" l="1"/>
  <c r="AU45" i="9"/>
  <c r="AV45" i="9" l="1"/>
  <c r="AU51" i="9"/>
  <c r="AU57" i="9" l="1"/>
  <c r="AV57" i="9" s="1"/>
  <c r="AV51" i="9"/>
  <c r="AU63" i="9" l="1"/>
  <c r="AU69" i="9" s="1"/>
  <c r="AV69" i="9" s="1"/>
  <c r="AV63" i="9" l="1"/>
  <c r="AU75" i="9"/>
  <c r="AU81" i="9" s="1"/>
  <c r="AU87" i="9" s="1"/>
  <c r="AV75" i="9" l="1"/>
  <c r="AV81" i="9"/>
  <c r="AV87" i="9"/>
  <c r="AU93" i="9"/>
  <c r="AU98" i="9" l="1"/>
  <c r="AV93" i="9"/>
  <c r="AV98" i="9" s="1"/>
  <c r="AW27" i="9" s="1"/>
  <c r="AW33" i="9" l="1"/>
  <c r="AX27" i="9"/>
  <c r="AX33" i="9" l="1"/>
  <c r="AW39" i="9"/>
  <c r="AX39" i="9" l="1"/>
  <c r="AW45" i="9"/>
  <c r="AX45" i="9" l="1"/>
  <c r="AW51" i="9"/>
  <c r="AX51" i="9" l="1"/>
  <c r="AW57" i="9"/>
  <c r="AX57" i="9" l="1"/>
  <c r="AW63" i="9"/>
  <c r="AW69" i="9" l="1"/>
  <c r="AX69" i="9" s="1"/>
  <c r="AX63" i="9"/>
  <c r="AW75" i="9" l="1"/>
  <c r="AX75" i="9" s="1"/>
  <c r="AW81" i="9" l="1"/>
  <c r="AX81" i="9" s="1"/>
  <c r="AW87" i="9" l="1"/>
  <c r="AX87" i="9" s="1"/>
  <c r="AW93" i="9" l="1"/>
  <c r="AW98" i="9" s="1"/>
  <c r="AX93" i="9" l="1"/>
  <c r="AX98" i="9" s="1"/>
  <c r="AY27" i="9" s="1"/>
  <c r="AY33" i="9" s="1"/>
  <c r="AZ27" i="9" l="1"/>
  <c r="AY39" i="9"/>
  <c r="AZ33" i="9"/>
  <c r="AY45" i="9" l="1"/>
  <c r="AZ39" i="9"/>
  <c r="AZ45" i="9" l="1"/>
  <c r="AY51" i="9"/>
  <c r="AY57" i="9" s="1"/>
  <c r="AY63" i="9" l="1"/>
  <c r="AY69" i="9" s="1"/>
  <c r="AZ51" i="9"/>
  <c r="AZ57" i="9"/>
  <c r="AZ63" i="9" l="1"/>
  <c r="AY75" i="9"/>
  <c r="AZ75" i="9" s="1"/>
  <c r="AZ69" i="9"/>
  <c r="AY81" i="9" l="1"/>
  <c r="AZ81" i="9" l="1"/>
  <c r="AY87" i="9"/>
  <c r="AY93" i="9" l="1"/>
  <c r="AZ87" i="9"/>
  <c r="AZ93" i="9" l="1"/>
  <c r="AZ98" i="9" s="1"/>
  <c r="BA27" i="9" s="1"/>
  <c r="AY98" i="9"/>
  <c r="BB27" i="9" l="1"/>
  <c r="BA33" i="9"/>
  <c r="BB33" i="9" l="1"/>
  <c r="BC27" i="9"/>
  <c r="AG27" i="9" s="1"/>
  <c r="BA39" i="9"/>
  <c r="BC33" i="9" l="1"/>
  <c r="AG33" i="9" s="1"/>
  <c r="Z27" i="9"/>
  <c r="BB39" i="9"/>
  <c r="BA45" i="9"/>
  <c r="BB45" i="9" l="1"/>
  <c r="BA51" i="9"/>
  <c r="BC39" i="9"/>
  <c r="AG39" i="9" s="1"/>
  <c r="Z33" i="9"/>
  <c r="BB51" i="9" l="1"/>
  <c r="BA57" i="9"/>
  <c r="BC45" i="9"/>
  <c r="AG45" i="9" s="1"/>
  <c r="Z39" i="9"/>
  <c r="BC51" i="9" l="1"/>
  <c r="AG51" i="9" s="1"/>
  <c r="Z45" i="9"/>
  <c r="BB57" i="9"/>
  <c r="BA63" i="9"/>
  <c r="BB63" i="9" l="1"/>
  <c r="BA69" i="9"/>
  <c r="Z51" i="9"/>
  <c r="BB69" i="9" l="1"/>
  <c r="BA75" i="9"/>
  <c r="BB75" i="9" l="1"/>
  <c r="BA81" i="9"/>
  <c r="BB81" i="9" l="1"/>
  <c r="BA87" i="9"/>
  <c r="BB87" i="9" l="1"/>
  <c r="BA93" i="9"/>
  <c r="BB93" i="9" l="1"/>
  <c r="BB98" i="9" s="1"/>
  <c r="BC57" i="9" s="1"/>
  <c r="BA98" i="9"/>
  <c r="AG57" i="9" l="1"/>
  <c r="Z57" i="9"/>
  <c r="BC63" i="9"/>
  <c r="BC69" i="9" l="1"/>
  <c r="AG63" i="9"/>
  <c r="Z63" i="9"/>
  <c r="AG69" i="9" l="1"/>
  <c r="Z69" i="9"/>
  <c r="BC75" i="9"/>
  <c r="AG75" i="9" l="1"/>
  <c r="Z75" i="9"/>
  <c r="BC81" i="9"/>
  <c r="BC87" i="9" l="1"/>
  <c r="BC93" i="9" s="1"/>
  <c r="AG93" i="9" s="1"/>
  <c r="AG81" i="9"/>
  <c r="Z81" i="9"/>
  <c r="AG87" i="9" l="1"/>
  <c r="AG98" i="9" s="1"/>
  <c r="BC98" i="9"/>
  <c r="Z93" i="9"/>
  <c r="Z87" i="9"/>
  <c r="AI93" i="9" l="1"/>
  <c r="AI39" i="9"/>
  <c r="Z98" i="9"/>
  <c r="AI57" i="9"/>
  <c r="AI63" i="9"/>
  <c r="AI69" i="9"/>
  <c r="AI81" i="9"/>
  <c r="AI33" i="9"/>
  <c r="AI45" i="9"/>
  <c r="AI51" i="9"/>
  <c r="AI98" i="9" l="1"/>
  <c r="AJ93" i="9" l="1"/>
  <c r="AJ63" i="9"/>
  <c r="X63" i="9" s="1"/>
  <c r="W63" i="9" s="1"/>
  <c r="U61" i="9" s="1"/>
  <c r="AJ75" i="9"/>
  <c r="X75" i="9" s="1"/>
  <c r="W75" i="9" s="1"/>
  <c r="U73" i="9" s="1"/>
  <c r="AJ39" i="9"/>
  <c r="X39" i="9" s="1"/>
  <c r="W39" i="9" s="1"/>
  <c r="U37" i="9" s="1"/>
  <c r="AJ87" i="9"/>
  <c r="X87" i="9" s="1"/>
  <c r="W87" i="9" s="1"/>
  <c r="U85" i="9" s="1"/>
  <c r="AJ27" i="9"/>
  <c r="X27" i="9" s="1"/>
  <c r="W27" i="9" s="1"/>
  <c r="U25" i="9" s="1"/>
  <c r="AJ33" i="9"/>
  <c r="X33" i="9" s="1"/>
  <c r="W33" i="9" s="1"/>
  <c r="U31" i="9" s="1"/>
  <c r="AJ45" i="9"/>
  <c r="X45" i="9" s="1"/>
  <c r="W45" i="9" s="1"/>
  <c r="U43" i="9" s="1"/>
  <c r="AJ51" i="9"/>
  <c r="X51" i="9" s="1"/>
  <c r="W51" i="9" s="1"/>
  <c r="U49" i="9" s="1"/>
  <c r="AJ69" i="9"/>
  <c r="X69" i="9" s="1"/>
  <c r="W69" i="9" s="1"/>
  <c r="U67" i="9" s="1"/>
  <c r="AJ81" i="9"/>
  <c r="X81" i="9" s="1"/>
  <c r="W81" i="9" s="1"/>
  <c r="U79" i="9" s="1"/>
  <c r="AJ57" i="9"/>
  <c r="X57" i="9" s="1"/>
  <c r="W57" i="9" s="1"/>
  <c r="U55" i="9" s="1"/>
  <c r="AJ98" i="9" l="1"/>
  <c r="X93" i="9"/>
  <c r="W93" i="9" l="1"/>
  <c r="X98" i="9"/>
  <c r="W98" i="9" l="1"/>
  <c r="U91" i="9"/>
  <c r="H51" i="10" l="1"/>
</calcChain>
</file>

<file path=xl/sharedStrings.xml><?xml version="1.0" encoding="utf-8"?>
<sst xmlns="http://schemas.openxmlformats.org/spreadsheetml/2006/main" count="37541" uniqueCount="18731">
  <si>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</si>
  <si>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</si>
  <si>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</si>
  <si>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</si>
  <si>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</si>
  <si>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</si>
  <si>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</si>
  <si>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</si>
  <si>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</si>
  <si>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</si>
  <si>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</si>
  <si>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</si>
  <si>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</si>
  <si>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</si>
  <si>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</si>
  <si>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</si>
  <si>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</si>
  <si>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</si>
  <si>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</si>
  <si>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</si>
  <si>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</si>
  <si>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</si>
  <si>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</si>
  <si>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</si>
  <si>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</si>
  <si>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</si>
  <si>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</si>
  <si>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</si>
  <si>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</si>
  <si>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</si>
  <si>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</si>
  <si>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</si>
  <si>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</si>
  <si>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</si>
  <si>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</si>
  <si>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</si>
  <si>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</si>
  <si>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</si>
  <si>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</si>
  <si>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</si>
  <si>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</si>
  <si>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</si>
  <si>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</si>
  <si>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</si>
  <si>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</si>
  <si>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</si>
  <si>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</si>
  <si>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</si>
  <si>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</si>
  <si>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</si>
  <si>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</si>
  <si>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</si>
  <si>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</si>
  <si>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</si>
  <si>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</si>
  <si>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</si>
  <si>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</si>
  <si>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</si>
  <si>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</si>
  <si>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</si>
  <si>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</si>
  <si>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</si>
  <si>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</si>
  <si>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</si>
  <si>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</si>
  <si>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</si>
  <si>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</si>
  <si>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</si>
  <si>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</si>
  <si>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</si>
  <si>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</si>
  <si>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</si>
  <si>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</si>
  <si>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</si>
  <si>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</si>
  <si>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</si>
  <si>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</si>
  <si>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</si>
  <si>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</si>
  <si>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</si>
  <si>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</si>
  <si>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</si>
  <si>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</si>
  <si>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</si>
  <si>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</si>
  <si>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</si>
  <si>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</si>
  <si>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</si>
  <si>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</si>
  <si>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</si>
  <si>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</si>
  <si>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</si>
  <si>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</si>
  <si>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</si>
  <si>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</si>
  <si>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</si>
  <si>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</si>
  <si>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</si>
  <si>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</si>
  <si>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</si>
  <si>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</si>
  <si>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</si>
  <si>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</si>
  <si>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</si>
  <si>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</si>
  <si>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</si>
  <si>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</si>
  <si>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</si>
  <si>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</si>
  <si>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</si>
  <si>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</si>
  <si>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</si>
  <si>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</si>
  <si>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</si>
  <si>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</si>
  <si>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</si>
  <si>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</si>
  <si>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</si>
  <si>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</si>
  <si>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</si>
  <si>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</si>
  <si>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</si>
  <si>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</si>
  <si>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</si>
  <si>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</si>
  <si>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</si>
  <si>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</si>
  <si>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</si>
  <si>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</si>
  <si>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</si>
  <si>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</si>
  <si>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</si>
  <si>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</si>
  <si>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</si>
  <si>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</si>
  <si>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</si>
  <si>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</si>
  <si>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</si>
  <si>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</si>
  <si>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</si>
  <si>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</si>
  <si>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</si>
  <si>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</si>
  <si>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</si>
  <si>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</si>
  <si>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</si>
  <si>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</si>
  <si>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</si>
  <si>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</si>
  <si>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</si>
  <si>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</si>
  <si>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</si>
  <si>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</si>
  <si>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</si>
  <si>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</si>
  <si>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</si>
  <si>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</si>
  <si>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</si>
  <si>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</si>
  <si>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</si>
  <si>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</si>
  <si>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</si>
  <si>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</si>
  <si>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</si>
  <si>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</si>
  <si>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</si>
  <si>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</si>
  <si>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</si>
  <si>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</si>
  <si>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</si>
  <si>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</si>
  <si>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</si>
  <si>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</si>
  <si>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</si>
  <si>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</si>
  <si>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</si>
  <si>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</si>
  <si>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</si>
  <si>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</si>
  <si>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</si>
  <si>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</si>
  <si>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</si>
  <si>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</si>
  <si>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</si>
  <si>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</si>
  <si>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</si>
  <si>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</si>
  <si>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</si>
  <si>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</si>
  <si>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</si>
  <si>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</si>
  <si>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</si>
  <si>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</si>
  <si>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</si>
  <si>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</si>
  <si>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</si>
  <si>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</si>
  <si>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</si>
  <si>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</si>
  <si>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</si>
  <si>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</si>
  <si>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</si>
  <si>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</si>
  <si>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</si>
  <si>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</si>
  <si>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</si>
  <si>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</si>
  <si>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</si>
  <si>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</si>
  <si>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</si>
  <si>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</si>
  <si>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</si>
  <si>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</si>
  <si>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</si>
  <si>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</si>
  <si>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</si>
  <si>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</si>
  <si>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</si>
  <si>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</si>
  <si>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</si>
  <si>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</si>
  <si>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</si>
  <si>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</si>
  <si>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</si>
  <si>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</si>
  <si>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</si>
  <si>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</si>
  <si>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</si>
  <si>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</si>
  <si>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</si>
  <si>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</si>
  <si>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</si>
  <si>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</si>
  <si>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</si>
  <si>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</si>
  <si>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</si>
  <si>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</si>
  <si>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</si>
  <si>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</si>
  <si>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</si>
  <si>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</si>
  <si>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</si>
  <si>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</si>
  <si>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</si>
  <si>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</si>
  <si>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</si>
  <si>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</si>
  <si>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</si>
  <si>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</si>
  <si>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</si>
  <si>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</si>
  <si>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</si>
  <si>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</si>
  <si>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</si>
  <si>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</si>
  <si>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</si>
  <si>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</si>
  <si>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</si>
  <si>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</si>
  <si>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</si>
  <si>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</si>
  <si>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</si>
  <si>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</si>
  <si>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</si>
  <si>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</si>
  <si>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</si>
  <si>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</si>
  <si>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</si>
  <si>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</si>
  <si>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</si>
  <si>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</si>
  <si>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</si>
  <si>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</si>
  <si>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</si>
  <si>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</si>
  <si>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</si>
  <si>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</si>
  <si>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</si>
  <si>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</si>
  <si>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</si>
  <si>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</si>
  <si>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</si>
  <si>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</si>
  <si>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</si>
  <si>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</si>
  <si>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</si>
  <si>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</si>
  <si>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</si>
  <si>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</si>
  <si>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</si>
  <si>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</si>
  <si>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</si>
  <si>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</si>
  <si>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</si>
  <si>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</si>
  <si>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</si>
  <si>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</si>
  <si>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</si>
  <si>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</si>
  <si>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</si>
  <si>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</si>
  <si>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</si>
  <si>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</si>
  <si>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</si>
  <si>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</si>
  <si>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</si>
  <si>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</si>
  <si>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</si>
  <si>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</si>
  <si>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</si>
  <si>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</si>
  <si>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</si>
  <si>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</si>
  <si>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</si>
  <si>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</si>
  <si>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</si>
  <si>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</si>
  <si>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</si>
  <si>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</si>
  <si>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</si>
  <si>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</si>
  <si>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</si>
  <si>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</si>
  <si>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</si>
  <si>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</si>
  <si>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</si>
  <si>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</si>
  <si>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</si>
  <si>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</si>
  <si>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</si>
  <si>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</si>
  <si>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</si>
  <si>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</si>
  <si>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</si>
  <si>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</si>
  <si>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</si>
  <si>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</si>
  <si>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</si>
  <si>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</si>
  <si>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</si>
  <si>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</si>
  <si>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</si>
  <si>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</si>
  <si>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</si>
  <si>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</si>
  <si>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</si>
  <si>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</si>
  <si>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</si>
  <si>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</si>
  <si>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</si>
  <si>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</si>
  <si>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</si>
  <si>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</si>
  <si>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</si>
  <si>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</si>
  <si>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</si>
  <si>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</si>
  <si>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</si>
  <si>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</si>
  <si>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</si>
  <si>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</si>
  <si>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</si>
  <si>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</si>
  <si>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</si>
  <si>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</si>
  <si>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</si>
  <si>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</si>
  <si>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</si>
  <si>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</si>
  <si>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</si>
  <si>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</si>
  <si>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</si>
  <si>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</si>
  <si>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</si>
  <si>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</si>
  <si>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</si>
  <si>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</si>
  <si>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</si>
  <si>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</si>
  <si>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</si>
  <si>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</si>
  <si>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</si>
  <si>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</si>
  <si>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</si>
  <si>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</si>
  <si>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</si>
  <si>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</si>
  <si>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</si>
  <si>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</si>
  <si>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</si>
  <si>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</si>
  <si>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</si>
  <si>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</si>
  <si>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</si>
  <si>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</si>
  <si>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</si>
  <si>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</si>
  <si>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</si>
  <si>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</si>
  <si>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</si>
  <si>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</si>
  <si>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</si>
  <si>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</si>
  <si>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</si>
  <si>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</si>
  <si>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</si>
  <si>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</si>
  <si>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</si>
  <si>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</si>
  <si>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</si>
  <si>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</si>
  <si>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</si>
  <si>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</si>
  <si>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</si>
  <si>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</si>
  <si>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</si>
  <si>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</si>
  <si>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</si>
  <si>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</si>
  <si>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</si>
  <si>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</si>
  <si>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</si>
  <si>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</si>
  <si>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</si>
  <si>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</si>
  <si>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</si>
  <si>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</si>
  <si>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</si>
  <si>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</si>
  <si>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</si>
  <si>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</si>
  <si>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</si>
  <si>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</si>
  <si>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</si>
  <si>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</si>
  <si>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</si>
  <si>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</si>
  <si>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</si>
  <si>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</si>
  <si>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</si>
  <si>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</si>
  <si>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</si>
  <si>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</si>
  <si>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</si>
  <si>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</si>
  <si>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</si>
  <si>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</si>
  <si>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</si>
  <si>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</si>
  <si>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</si>
  <si>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</si>
  <si>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</si>
  <si>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</si>
  <si>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</si>
  <si>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</si>
  <si>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</si>
  <si>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</si>
  <si>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</si>
  <si>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</si>
  <si>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</si>
  <si>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</si>
  <si>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</si>
  <si>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</si>
  <si>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</si>
  <si>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</si>
  <si>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</si>
  <si>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</si>
  <si>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</si>
  <si>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</si>
  <si>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</si>
  <si>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</si>
  <si>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</si>
  <si>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</si>
  <si>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</si>
  <si>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</si>
  <si>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</si>
  <si>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</si>
  <si>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</si>
  <si>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</si>
  <si>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</si>
  <si>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</si>
  <si>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</si>
  <si>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</si>
  <si>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</si>
  <si>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</si>
  <si>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</si>
  <si>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</si>
  <si>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</si>
  <si>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</si>
  <si>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</si>
  <si>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</si>
  <si>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</si>
  <si>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</si>
  <si>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</si>
  <si>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</si>
  <si>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</si>
  <si>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</si>
  <si>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</si>
  <si>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</si>
  <si>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</si>
  <si>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</si>
  <si>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</si>
  <si>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</si>
  <si>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</si>
  <si>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</si>
  <si>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</si>
  <si>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</si>
  <si>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</si>
  <si>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</si>
  <si>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</si>
  <si>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</si>
  <si>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</si>
  <si>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</si>
  <si>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</si>
  <si>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</si>
  <si>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</si>
  <si>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</si>
  <si>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</si>
  <si>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</si>
  <si>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</si>
  <si>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</si>
  <si>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</si>
  <si>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</si>
  <si>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</si>
  <si>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</si>
  <si>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</si>
  <si>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</si>
  <si>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</si>
  <si>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</si>
  <si>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</si>
  <si>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</si>
  <si>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</si>
  <si>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</si>
  <si>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</si>
  <si>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</si>
  <si>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</si>
  <si>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</si>
  <si>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</si>
  <si>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</si>
  <si>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</si>
  <si>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</si>
  <si>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</si>
  <si>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</si>
  <si>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</si>
  <si>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</si>
  <si>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</si>
  <si>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</si>
  <si>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</si>
  <si>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</si>
  <si>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</si>
  <si>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</si>
  <si>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</si>
  <si>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</si>
  <si>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</si>
  <si>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</si>
  <si>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</si>
  <si>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</si>
  <si>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</si>
  <si>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</si>
  <si>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</si>
  <si>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</si>
  <si>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</si>
  <si>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</si>
  <si>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</si>
  <si>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</si>
  <si>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</si>
  <si>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</si>
  <si>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</si>
  <si>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</si>
  <si>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</si>
  <si>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</si>
  <si>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</si>
  <si>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</si>
  <si>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</si>
  <si>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</si>
  <si>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</si>
  <si>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</si>
  <si>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</si>
  <si>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</si>
  <si>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</si>
  <si>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</si>
  <si>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</si>
  <si>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</si>
  <si>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</si>
  <si>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</si>
  <si>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</si>
  <si>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</si>
  <si>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</si>
  <si>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</si>
  <si>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</si>
  <si>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</si>
  <si>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</si>
  <si>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</si>
  <si>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</si>
  <si>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</si>
  <si>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</si>
  <si>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</si>
  <si>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</si>
  <si>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</si>
  <si>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</si>
  <si>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</si>
  <si>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</si>
  <si>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</si>
  <si>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</si>
  <si>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</si>
  <si>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</si>
  <si>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</si>
  <si>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</si>
  <si>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</si>
  <si>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</si>
  <si>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</si>
  <si>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</si>
  <si>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</si>
  <si>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</si>
  <si>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</si>
  <si>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</si>
  <si>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</si>
  <si>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</si>
  <si>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</si>
  <si>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</si>
  <si>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</si>
  <si>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</si>
  <si>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</si>
  <si>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</si>
  <si>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</si>
  <si>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</si>
  <si>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</si>
  <si>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</si>
  <si>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</si>
  <si>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</si>
  <si>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</si>
  <si>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</si>
  <si>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</si>
  <si>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</si>
  <si>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</si>
  <si>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</si>
  <si>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</si>
  <si>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</si>
  <si>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</si>
  <si>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</si>
  <si>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</si>
  <si>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</si>
  <si>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</si>
  <si>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</si>
  <si>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</si>
  <si>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</si>
  <si>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</si>
  <si>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</si>
  <si>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</si>
  <si>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</si>
  <si>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</si>
  <si>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</si>
  <si>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</si>
  <si>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</si>
  <si>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</si>
  <si>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</si>
  <si>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</si>
  <si>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</si>
  <si>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</si>
  <si>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</si>
  <si>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</si>
  <si>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</si>
  <si>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</si>
  <si>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</si>
  <si>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</si>
  <si>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</si>
  <si>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</si>
  <si>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</si>
  <si>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</si>
  <si>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</si>
  <si>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</si>
  <si>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</si>
  <si>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</si>
  <si>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</si>
  <si>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</si>
  <si>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</si>
  <si>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</si>
  <si>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</si>
  <si>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</si>
  <si>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</si>
  <si>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</si>
  <si>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</si>
  <si>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</si>
  <si>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</si>
  <si>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</si>
  <si>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</si>
  <si>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</si>
  <si>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</si>
  <si>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</si>
  <si>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</si>
  <si>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</si>
  <si>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</si>
  <si>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</si>
  <si>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</si>
  <si>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</si>
  <si>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</si>
  <si>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</si>
  <si>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</si>
  <si>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</si>
  <si>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</si>
  <si>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</si>
  <si>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</si>
  <si>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</si>
  <si>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</si>
  <si>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</si>
  <si>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</si>
  <si>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</si>
  <si>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</si>
  <si>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</si>
  <si>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</si>
  <si>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</si>
  <si>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</si>
  <si>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</si>
  <si>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</si>
  <si>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</si>
  <si>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</si>
  <si>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</si>
  <si>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</si>
  <si>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</si>
  <si>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</si>
  <si>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</si>
  <si>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</si>
  <si>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</si>
  <si>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</si>
  <si>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</si>
  <si>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</si>
  <si>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</si>
  <si>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</si>
  <si>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</si>
  <si>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</si>
  <si>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</si>
  <si>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</si>
  <si>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</si>
  <si>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</si>
  <si>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</si>
  <si>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</si>
  <si>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</si>
  <si>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</si>
  <si>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</si>
  <si>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</si>
  <si>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</si>
  <si>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</si>
  <si>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</si>
  <si>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</si>
  <si>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</si>
  <si>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</si>
  <si>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</si>
  <si>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</si>
  <si>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</si>
  <si>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</si>
  <si>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</si>
  <si>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</si>
  <si>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</si>
  <si>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</si>
  <si>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</si>
  <si>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</si>
  <si>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</si>
  <si>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</si>
  <si>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</si>
  <si>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</si>
  <si>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</si>
  <si>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</si>
  <si>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</si>
  <si>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</si>
  <si>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</si>
  <si>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</si>
  <si>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</si>
  <si>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</si>
  <si>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</si>
  <si>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</si>
  <si>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</si>
  <si>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</si>
  <si>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</si>
  <si>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</si>
  <si>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</si>
  <si>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</si>
  <si>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</si>
  <si>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</si>
  <si>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</si>
  <si>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</si>
  <si>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</si>
  <si>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</si>
  <si>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</si>
  <si>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</si>
  <si>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</si>
  <si>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</si>
  <si>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</si>
  <si>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</si>
  <si>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</si>
  <si>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</si>
  <si>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</si>
  <si>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</si>
  <si>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</si>
  <si>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</si>
  <si>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</si>
  <si>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</si>
  <si>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</si>
  <si>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</si>
  <si>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</si>
  <si>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</si>
  <si>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</si>
  <si>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</si>
  <si>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</si>
  <si>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</si>
  <si>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</si>
  <si>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</si>
  <si>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</si>
  <si>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</si>
  <si>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</si>
  <si>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</si>
  <si>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</si>
  <si>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</si>
  <si>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</si>
  <si>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</si>
  <si>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</si>
  <si>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</si>
  <si>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</si>
  <si>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</si>
  <si>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</si>
  <si>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</si>
  <si>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</si>
  <si>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</si>
  <si>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</si>
  <si>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</si>
  <si>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</si>
  <si>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</si>
  <si>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</si>
  <si>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</si>
  <si>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</si>
  <si>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</si>
  <si>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</si>
  <si>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</si>
  <si>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</si>
  <si>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</si>
  <si>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</si>
  <si>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</si>
  <si>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</si>
  <si>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</si>
  <si>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</si>
  <si>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</si>
  <si>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</si>
  <si>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</si>
  <si>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</si>
  <si>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</si>
  <si>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</si>
  <si>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</si>
  <si>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</si>
  <si>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</si>
  <si>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</si>
  <si>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</si>
  <si>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</si>
  <si>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</si>
  <si>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</si>
  <si>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</si>
  <si>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</si>
  <si>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</si>
  <si>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</si>
  <si>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</si>
  <si>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</si>
  <si>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</si>
  <si>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</si>
  <si>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</si>
  <si>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</si>
  <si>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</si>
  <si>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</si>
  <si>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</si>
  <si>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</si>
  <si>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</si>
  <si>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</si>
  <si>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</si>
  <si>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</si>
  <si>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</si>
  <si>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</si>
  <si>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</si>
  <si>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</si>
  <si>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</si>
  <si>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</si>
  <si>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</si>
  <si>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</si>
  <si>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</si>
  <si>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</si>
  <si>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</si>
  <si>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</si>
  <si>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</si>
  <si>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</si>
  <si>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</si>
  <si>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</si>
  <si>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</si>
  <si>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</si>
  <si>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</si>
  <si>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</si>
  <si>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</si>
  <si>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</si>
  <si>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</si>
  <si>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</si>
  <si>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</si>
  <si>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</si>
  <si>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</si>
  <si>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</si>
  <si>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</si>
  <si>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</si>
  <si>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</si>
  <si>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</si>
  <si>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</si>
  <si>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</si>
  <si>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</si>
  <si>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</si>
  <si>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</si>
  <si>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</si>
  <si>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</si>
  <si>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</si>
  <si>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</si>
  <si>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</si>
  <si>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</si>
  <si>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</si>
  <si>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</si>
  <si>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</si>
  <si>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</si>
  <si>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</si>
  <si>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</si>
  <si>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</si>
  <si>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</si>
  <si>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</si>
  <si>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</si>
  <si>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</si>
  <si>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</si>
  <si>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</si>
  <si>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</si>
  <si>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</si>
  <si>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</si>
  <si>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</si>
  <si>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</si>
  <si>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</si>
  <si>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</si>
  <si>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</si>
  <si>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</si>
  <si>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</si>
  <si>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</si>
  <si>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</si>
  <si>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</si>
  <si>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</si>
  <si>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</si>
  <si>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</si>
  <si>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</si>
  <si>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</si>
  <si>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</si>
  <si>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</si>
  <si>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</si>
  <si>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</si>
  <si>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</si>
  <si>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</si>
  <si>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</si>
  <si>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</si>
  <si>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</si>
  <si>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</si>
  <si>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</si>
  <si>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</si>
  <si>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</si>
  <si>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</si>
  <si>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</si>
  <si>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</si>
  <si>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</si>
  <si>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</si>
  <si>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</si>
  <si>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</si>
  <si>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</si>
  <si>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</si>
  <si>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</si>
  <si>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</si>
  <si>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</si>
  <si>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</si>
  <si>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</si>
  <si>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</si>
  <si>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</si>
  <si>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</si>
  <si>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</si>
  <si>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</si>
  <si>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</si>
  <si>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</si>
  <si>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</si>
  <si>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</si>
  <si>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</si>
  <si>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</si>
  <si>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</si>
  <si>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</si>
  <si>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</si>
  <si>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</si>
  <si>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</si>
  <si>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</si>
  <si>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</si>
  <si>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</si>
  <si>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</si>
  <si>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</si>
  <si>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</si>
  <si>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</si>
  <si>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</si>
  <si>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</si>
  <si>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</si>
  <si>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</si>
  <si>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</si>
  <si>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</si>
  <si>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</si>
  <si>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</si>
  <si>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</si>
  <si>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</si>
  <si>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</si>
  <si>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</si>
  <si>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</si>
  <si>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</si>
  <si>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</si>
  <si>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</si>
  <si>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</si>
  <si>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</si>
  <si>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</si>
  <si>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</si>
  <si>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</si>
  <si>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</si>
  <si>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</si>
  <si>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</si>
  <si>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</si>
  <si>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</si>
  <si>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</si>
  <si>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</si>
  <si>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</si>
  <si>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</si>
  <si>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</si>
  <si>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</si>
  <si>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</si>
  <si>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</si>
  <si>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</si>
  <si>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</si>
  <si>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</si>
  <si>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</si>
  <si>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</si>
  <si>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</si>
  <si>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</si>
  <si>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</si>
  <si>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</si>
  <si>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</si>
  <si>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</si>
  <si>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</si>
  <si>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</si>
  <si>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</si>
  <si>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</si>
  <si>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</si>
  <si>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</si>
  <si>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</si>
  <si>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</si>
  <si>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</si>
  <si>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</si>
  <si>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</si>
  <si>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</si>
  <si>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</si>
  <si>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</si>
  <si>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</si>
  <si>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</si>
  <si>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</si>
  <si>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</si>
  <si>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</si>
  <si>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</si>
  <si>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</si>
  <si>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</si>
  <si>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</si>
  <si>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</si>
  <si>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</si>
  <si>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</si>
  <si>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</si>
  <si>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</si>
  <si>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</si>
  <si>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</si>
  <si>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</si>
  <si>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</si>
  <si>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</si>
  <si>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</si>
  <si>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</si>
  <si>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</si>
  <si>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</si>
  <si>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</si>
  <si>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</si>
  <si>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</si>
  <si>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</si>
  <si>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</si>
  <si>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</si>
  <si>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</si>
  <si>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</si>
  <si>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</si>
  <si>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</si>
  <si>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</si>
  <si>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</si>
  <si>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</si>
  <si>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</si>
  <si>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</si>
  <si>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</si>
  <si>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</si>
  <si>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</si>
  <si>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</si>
  <si>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</si>
  <si>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</si>
  <si>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</si>
  <si>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</si>
  <si>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</si>
  <si>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</si>
  <si>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</si>
  <si>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</si>
  <si>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</si>
  <si>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</si>
  <si>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</si>
  <si>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</si>
  <si>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</si>
  <si>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</si>
  <si>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</si>
  <si>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</si>
  <si>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</si>
  <si>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</si>
  <si>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</si>
  <si>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</si>
  <si>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</si>
  <si>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</si>
  <si>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</si>
  <si>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</si>
  <si>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</si>
  <si>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</si>
  <si>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</si>
  <si>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</si>
  <si>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</si>
  <si>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</si>
  <si>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</si>
  <si>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</si>
  <si>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</si>
  <si>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</si>
  <si>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</si>
  <si>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</si>
  <si>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</si>
  <si>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</si>
  <si>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</si>
  <si>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</si>
  <si>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</si>
  <si>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</si>
  <si>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</si>
  <si>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</si>
  <si>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</si>
  <si>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</si>
  <si>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</si>
  <si>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</si>
  <si>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</si>
  <si>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</si>
  <si>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</si>
  <si>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</si>
  <si>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</si>
  <si>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</si>
  <si>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</si>
  <si>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</si>
  <si>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</si>
  <si>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</si>
  <si>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</si>
  <si>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</si>
  <si>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</si>
  <si>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</si>
  <si>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</si>
  <si>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</si>
  <si>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</si>
  <si>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</si>
  <si>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</si>
  <si>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</si>
  <si>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</si>
  <si>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</si>
  <si>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</si>
  <si>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</si>
  <si>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</si>
  <si>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</si>
  <si>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</si>
  <si>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</si>
  <si>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</si>
  <si>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</si>
  <si>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</si>
  <si>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</si>
  <si>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</si>
  <si>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</si>
  <si>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</si>
  <si>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</si>
  <si>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</si>
  <si>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</si>
  <si>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</si>
  <si>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</si>
  <si>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</si>
  <si>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</si>
  <si>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</si>
  <si>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</si>
  <si>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</si>
  <si>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</si>
  <si>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</si>
  <si>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</si>
  <si>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</si>
  <si>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</si>
  <si>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</si>
  <si>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</si>
  <si>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</si>
  <si>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</si>
  <si>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</si>
  <si>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</si>
  <si>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</si>
  <si>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</si>
  <si>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</si>
  <si>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</si>
  <si>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</si>
  <si>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</si>
  <si>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</si>
  <si>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</si>
  <si>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</si>
  <si>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</si>
  <si>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</si>
  <si>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</si>
  <si>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</si>
  <si>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</si>
  <si>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</si>
  <si>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</si>
  <si>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</si>
  <si>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</si>
  <si>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</si>
  <si>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</si>
  <si>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</si>
  <si>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</si>
  <si>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</si>
  <si>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</si>
  <si>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</si>
  <si>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</si>
  <si>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</si>
  <si>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</si>
  <si>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</si>
  <si>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</si>
  <si>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</si>
  <si>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</si>
  <si>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</si>
  <si>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</si>
  <si>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</si>
  <si>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</si>
  <si>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</si>
  <si>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</si>
  <si>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</si>
  <si>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</si>
  <si>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</si>
  <si>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</si>
  <si>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</si>
  <si>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</si>
  <si>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</si>
  <si>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</si>
  <si>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</si>
  <si>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</si>
  <si>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</si>
  <si>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</si>
  <si>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</si>
  <si>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</si>
  <si>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</si>
  <si>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</si>
  <si>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</si>
  <si>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</si>
  <si>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</si>
  <si>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</si>
  <si>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</si>
  <si>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</si>
  <si>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</si>
  <si>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</si>
  <si>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</si>
  <si>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</si>
  <si>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</si>
  <si>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</si>
  <si>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</si>
  <si>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</si>
  <si>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</si>
  <si>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</si>
  <si>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</si>
  <si>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</si>
  <si>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</si>
  <si>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</si>
  <si>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</si>
  <si>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</si>
  <si>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</si>
  <si>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</si>
  <si>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</si>
  <si>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</si>
  <si>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</si>
  <si>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</si>
  <si>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</si>
  <si>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</si>
  <si>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</si>
  <si>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</si>
  <si>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</si>
  <si>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</si>
  <si>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</si>
  <si>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</si>
  <si>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</si>
  <si>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</si>
  <si>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</si>
  <si>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</si>
  <si>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</si>
  <si>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</si>
  <si>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</si>
  <si>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</si>
  <si>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</si>
  <si>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</si>
  <si>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</si>
  <si>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</si>
  <si>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</si>
  <si>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</si>
  <si>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</si>
  <si>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</si>
  <si>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</si>
  <si>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</si>
  <si>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</si>
  <si>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</si>
  <si>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</si>
  <si>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</si>
  <si>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</si>
  <si>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</si>
  <si>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</si>
  <si>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</si>
  <si>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</si>
  <si>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</si>
  <si>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</si>
  <si>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</si>
  <si>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</si>
  <si>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</si>
  <si>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</si>
  <si>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</si>
  <si>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</si>
  <si>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</si>
  <si>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</si>
  <si>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</si>
  <si>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</si>
  <si>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</si>
  <si>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</si>
  <si>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</si>
  <si>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</si>
  <si>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</si>
  <si>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</si>
  <si>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</si>
  <si>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</si>
  <si>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</si>
  <si>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</si>
  <si>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</si>
  <si>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</si>
  <si>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</si>
  <si>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</si>
  <si>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</si>
  <si>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</si>
  <si>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</si>
  <si>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</si>
  <si>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</si>
  <si>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</si>
  <si>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</si>
  <si>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</si>
  <si>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</si>
  <si>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</si>
  <si>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</si>
  <si>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</si>
  <si>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</si>
  <si>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</si>
  <si>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</si>
  <si>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</si>
  <si>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</si>
  <si>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</si>
  <si>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</si>
  <si>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</si>
  <si>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</si>
  <si>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</si>
  <si>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</si>
  <si>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</si>
  <si>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</si>
  <si>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</si>
  <si>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</si>
  <si>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</si>
  <si>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</si>
  <si>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</si>
  <si>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</si>
  <si>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</si>
  <si>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</si>
  <si>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</si>
  <si>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</si>
  <si>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</si>
  <si>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</si>
  <si>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</si>
  <si>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</si>
  <si>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</si>
  <si>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</si>
  <si>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</si>
  <si>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</si>
  <si>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</si>
  <si>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</si>
  <si>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</si>
  <si>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</si>
  <si>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</si>
  <si>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</si>
  <si>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</si>
  <si>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</si>
  <si>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</si>
  <si>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</si>
  <si>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</si>
  <si>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</si>
  <si>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</si>
  <si>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</si>
  <si>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</si>
  <si>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</si>
  <si>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</si>
  <si>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</si>
  <si>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</si>
  <si>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</si>
  <si>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</si>
  <si>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</si>
  <si>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</si>
  <si>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</si>
  <si>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</si>
  <si>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</si>
  <si>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</si>
  <si>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</si>
  <si>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</si>
  <si>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</si>
  <si>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</si>
  <si>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</si>
  <si>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</si>
  <si>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</si>
  <si>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</si>
  <si>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</si>
  <si>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</si>
  <si>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</si>
  <si>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</si>
  <si>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</si>
  <si>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</si>
  <si>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</si>
  <si>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</si>
  <si>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</si>
  <si>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</si>
  <si>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</si>
  <si>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</si>
  <si>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</si>
  <si>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</si>
  <si>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</si>
  <si>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</si>
  <si>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</si>
  <si>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</si>
  <si>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</si>
  <si>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</si>
  <si>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</si>
  <si>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</si>
  <si>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</si>
  <si>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</si>
  <si>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</si>
  <si>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</si>
  <si>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</si>
  <si>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</si>
  <si>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</si>
  <si>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</si>
  <si>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</si>
  <si>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</si>
  <si>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</si>
  <si>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</si>
  <si>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</si>
  <si>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</si>
  <si>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</si>
  <si>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</si>
  <si>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</si>
  <si>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</si>
  <si>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</si>
  <si>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</si>
  <si>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</si>
  <si>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</si>
  <si>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</si>
  <si>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</si>
  <si>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</si>
  <si>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</si>
  <si>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</si>
  <si>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</si>
  <si>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</si>
  <si>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</si>
  <si>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</si>
  <si>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</si>
  <si>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</si>
  <si>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</si>
  <si>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</si>
  <si>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</si>
  <si>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</si>
  <si>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</si>
  <si>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</si>
  <si>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</si>
  <si>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</si>
  <si>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</si>
  <si>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</si>
  <si>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</si>
  <si>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</si>
  <si>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</si>
  <si>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</si>
  <si>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</si>
  <si>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</si>
  <si>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</si>
  <si>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</si>
  <si>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</si>
  <si>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</si>
  <si>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</si>
  <si>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</si>
  <si>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</si>
  <si>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</si>
  <si>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</si>
  <si>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</si>
  <si>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</si>
  <si>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</si>
  <si>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</si>
  <si>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</si>
  <si>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</si>
  <si>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</si>
  <si>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</si>
  <si>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</si>
  <si>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</si>
  <si>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</si>
  <si>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</si>
  <si>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</si>
  <si>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</si>
  <si>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</si>
  <si>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</si>
  <si>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</si>
  <si>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</si>
  <si>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</si>
  <si>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</si>
  <si>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</si>
  <si>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</si>
  <si>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</si>
  <si>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</si>
  <si>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</si>
  <si>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</si>
  <si>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</si>
  <si>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</si>
  <si>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</si>
  <si>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</si>
  <si>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</si>
  <si>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</si>
  <si>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</si>
  <si>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</si>
  <si>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</si>
  <si>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</si>
  <si>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</si>
  <si>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</si>
  <si>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</si>
  <si>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</si>
  <si>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</si>
  <si>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</si>
  <si>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</si>
  <si>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</si>
  <si>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</si>
  <si>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</si>
  <si>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</si>
  <si>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</si>
  <si>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</si>
  <si>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</si>
  <si>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</si>
  <si>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</si>
  <si>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</si>
  <si>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</si>
  <si>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</si>
  <si>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</si>
  <si>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</si>
  <si>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</si>
  <si>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</si>
  <si>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</si>
  <si>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</si>
  <si>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</si>
  <si>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</si>
  <si>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</si>
  <si>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</si>
  <si>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</si>
  <si>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</si>
  <si>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</si>
  <si>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</si>
  <si>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</si>
  <si>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</si>
  <si>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</si>
  <si>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</si>
  <si>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</si>
  <si>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</si>
  <si>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</si>
  <si>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</si>
  <si>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</si>
  <si>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</si>
  <si>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</si>
  <si>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</si>
  <si>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</si>
  <si>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</si>
  <si>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</si>
  <si>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</si>
  <si>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</si>
  <si>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</si>
  <si>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</si>
  <si>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</si>
  <si>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</si>
  <si>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</si>
  <si>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</si>
  <si>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</si>
  <si>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</si>
  <si>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</si>
  <si>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</si>
  <si>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</si>
  <si>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</si>
  <si>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</si>
  <si>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</si>
  <si>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</si>
  <si>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</si>
  <si>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</si>
  <si>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</si>
  <si>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</si>
  <si>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</si>
  <si>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</si>
  <si>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</si>
  <si>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</si>
  <si>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</si>
  <si>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</si>
  <si>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</si>
  <si>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</si>
  <si>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</si>
  <si>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</si>
  <si>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</si>
  <si>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</si>
  <si>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</si>
  <si>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</si>
  <si>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</si>
  <si>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</si>
  <si>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</si>
  <si>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</si>
  <si>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</si>
  <si>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</si>
  <si>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</si>
  <si>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</si>
  <si>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</si>
  <si>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</si>
  <si>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</si>
  <si>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</si>
  <si>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</si>
  <si>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</si>
  <si>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</si>
  <si>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</si>
  <si>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</si>
  <si>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</si>
  <si>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</si>
  <si>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</si>
  <si>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</si>
  <si>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</si>
  <si>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</si>
  <si>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</si>
  <si>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</si>
  <si>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</si>
  <si>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</si>
  <si>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</si>
  <si>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</si>
  <si>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</si>
  <si>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</si>
  <si>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</si>
  <si>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</si>
  <si>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</si>
  <si>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</si>
  <si>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</si>
  <si>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</si>
  <si>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</si>
  <si>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</si>
  <si>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</si>
  <si>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</si>
  <si>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</si>
  <si>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</si>
  <si>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</si>
  <si>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</si>
  <si>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</si>
  <si>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</si>
  <si>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</si>
  <si>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</si>
  <si>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</si>
  <si>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</si>
  <si>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</si>
  <si>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</si>
  <si>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</si>
  <si>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</si>
  <si>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</si>
  <si>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</si>
  <si>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</si>
  <si>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</si>
  <si>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</si>
  <si>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</si>
  <si>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</si>
  <si>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</si>
  <si>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</si>
  <si>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</si>
  <si>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</si>
  <si>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</si>
  <si>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</si>
  <si>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</si>
  <si>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</si>
  <si>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</si>
  <si>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</si>
  <si>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</si>
  <si>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</si>
  <si>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</si>
  <si>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</si>
  <si>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</si>
  <si>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</si>
  <si>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</si>
  <si>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</si>
  <si>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</si>
  <si>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</si>
  <si>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</si>
  <si>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</si>
  <si>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</si>
  <si>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</si>
  <si>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</si>
  <si>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</si>
  <si>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</si>
  <si>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</si>
  <si>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</si>
  <si>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</si>
  <si>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</si>
  <si>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</si>
  <si>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</si>
  <si>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</si>
  <si>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</si>
  <si>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</si>
  <si>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</si>
  <si>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</si>
  <si>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</si>
  <si>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</si>
  <si>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</si>
  <si>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</si>
  <si>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</si>
  <si>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</si>
  <si>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</si>
  <si>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</si>
  <si>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</si>
  <si>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</si>
  <si>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</si>
  <si>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</si>
  <si>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</si>
  <si>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</si>
  <si>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</si>
  <si>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</si>
  <si>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</si>
  <si>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</si>
  <si>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</si>
  <si>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</si>
  <si>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</si>
  <si>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</si>
  <si>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</si>
  <si>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</si>
  <si>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</si>
  <si>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</si>
  <si>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</si>
  <si>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</si>
  <si>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</si>
  <si>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</si>
  <si>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</si>
  <si>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</si>
  <si>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</si>
  <si>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</si>
  <si>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</si>
  <si>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</si>
  <si>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</si>
  <si>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</si>
  <si>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</si>
  <si>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</si>
  <si>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</si>
  <si>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</si>
  <si>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</si>
  <si>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</si>
  <si>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</si>
  <si>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</si>
  <si>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</si>
  <si>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</si>
  <si>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</si>
  <si>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</si>
  <si>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</si>
  <si>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</si>
  <si>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</si>
  <si>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</si>
  <si>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</si>
  <si>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</si>
  <si>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</si>
  <si>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</si>
  <si>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</si>
  <si>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</si>
  <si>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</si>
  <si>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</si>
  <si>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</si>
  <si>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</si>
  <si>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</si>
  <si>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</si>
  <si>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</si>
  <si>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</si>
  <si>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</si>
  <si>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</si>
  <si>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</si>
  <si>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</si>
  <si>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</si>
  <si>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</si>
  <si>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</si>
  <si>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</si>
  <si>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</si>
  <si>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</si>
  <si>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</si>
  <si>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</si>
  <si>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</si>
  <si>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</si>
  <si>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</si>
  <si>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</si>
  <si>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</si>
  <si>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</si>
  <si>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</si>
  <si>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</si>
  <si>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</si>
  <si>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</si>
  <si>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</si>
  <si>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</si>
  <si>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</si>
  <si>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</si>
  <si>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</si>
  <si>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</si>
  <si>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</si>
  <si>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</si>
  <si>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</si>
  <si>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</si>
  <si>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</si>
  <si>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</si>
  <si>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</si>
  <si>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</si>
  <si>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</si>
  <si>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</si>
  <si>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</si>
  <si>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</si>
  <si>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</si>
  <si>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</si>
  <si>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</si>
  <si>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</si>
  <si>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</si>
  <si>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</si>
  <si>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</si>
  <si>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</si>
  <si>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</si>
  <si>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</si>
  <si>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</si>
  <si>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</si>
  <si>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</si>
  <si>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</si>
  <si>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</si>
  <si>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</si>
  <si>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</si>
  <si>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</si>
  <si>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</si>
  <si>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</si>
  <si>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</si>
  <si>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</si>
  <si>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</si>
  <si>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</si>
  <si>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</si>
  <si>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</si>
  <si>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</si>
  <si>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</si>
  <si>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</si>
  <si>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</si>
  <si>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</si>
  <si>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</si>
  <si>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</si>
  <si>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</si>
  <si>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</si>
  <si>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</si>
  <si>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</si>
  <si>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</si>
  <si>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</si>
  <si>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</si>
  <si>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</si>
  <si>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</si>
  <si>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</si>
  <si>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</si>
  <si>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</si>
  <si>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</si>
  <si>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</si>
  <si>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</si>
  <si>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</si>
  <si>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</si>
  <si>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</si>
  <si>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</si>
  <si>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</si>
  <si>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</si>
  <si>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</si>
  <si>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</si>
  <si>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</si>
  <si>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</si>
  <si>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</si>
  <si>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</si>
  <si>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</si>
  <si>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</si>
  <si>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</si>
  <si>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</si>
  <si>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</si>
  <si>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</si>
  <si>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</si>
  <si>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</si>
  <si>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</si>
  <si>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</si>
  <si>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</si>
  <si>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</si>
  <si>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</si>
  <si>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</si>
  <si>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</si>
  <si>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</si>
  <si>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</si>
  <si>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</si>
  <si>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</si>
  <si>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</si>
  <si>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</si>
  <si>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</si>
  <si>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</si>
  <si>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</si>
  <si>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</si>
  <si>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</si>
  <si>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</si>
  <si>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</si>
  <si>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</si>
  <si>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</si>
  <si>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</si>
  <si>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</si>
  <si>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</si>
  <si>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</si>
  <si>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</si>
  <si>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</si>
  <si>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</si>
  <si>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</si>
  <si>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</si>
  <si>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</si>
  <si>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</si>
  <si>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</si>
  <si>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</si>
  <si>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</si>
  <si>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</si>
  <si>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</si>
  <si>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</si>
  <si>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</si>
  <si>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</si>
  <si>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</si>
  <si>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</si>
  <si>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</si>
  <si>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</si>
  <si>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</si>
  <si>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</si>
  <si>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</si>
  <si>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</si>
  <si>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</si>
  <si>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</si>
  <si>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</si>
  <si>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</si>
  <si>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</si>
  <si>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</si>
  <si>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</si>
  <si>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</si>
  <si>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</si>
  <si>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</si>
  <si>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</si>
  <si>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</si>
  <si>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</si>
  <si>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</si>
  <si>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</si>
  <si>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</si>
  <si>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</si>
  <si>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</si>
  <si>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</si>
  <si>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</si>
  <si>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</si>
  <si>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</si>
  <si>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</si>
  <si>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</si>
  <si>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</si>
  <si>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</si>
  <si>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</si>
  <si>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</si>
  <si>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</si>
  <si>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</si>
  <si>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</si>
  <si>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</si>
  <si>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</si>
  <si>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</si>
  <si>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</si>
  <si>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</si>
  <si>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</si>
  <si>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</si>
  <si>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</si>
  <si>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</si>
  <si>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</si>
  <si>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</si>
  <si>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</si>
  <si>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</si>
  <si>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</si>
  <si>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</si>
  <si>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</si>
  <si>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</si>
  <si>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</si>
  <si>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</si>
  <si>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</si>
  <si>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</si>
  <si>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</si>
  <si>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</si>
  <si>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</si>
  <si>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</si>
  <si>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</si>
  <si>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</si>
  <si>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</si>
  <si>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</si>
  <si>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</si>
  <si>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</si>
  <si>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</si>
  <si>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</si>
  <si>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</si>
  <si>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</si>
  <si>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</si>
  <si>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</si>
  <si>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</si>
  <si>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</si>
  <si>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</si>
  <si>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</si>
  <si>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</si>
  <si>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</si>
  <si>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</si>
  <si>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</si>
  <si>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</si>
  <si>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</si>
  <si>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</si>
  <si>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</si>
  <si>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</si>
  <si>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</si>
  <si>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</si>
  <si>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</si>
  <si>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</si>
  <si>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</si>
  <si>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</si>
  <si>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</si>
  <si>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</si>
  <si>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</si>
  <si>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</si>
  <si>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</si>
  <si>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</si>
  <si>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</si>
  <si>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</si>
  <si>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</si>
  <si>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</si>
  <si>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</si>
  <si>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</si>
  <si>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</si>
  <si>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</si>
  <si>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</si>
  <si>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</si>
  <si>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</si>
  <si>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</si>
  <si>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</si>
  <si>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</si>
  <si>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</si>
  <si>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</si>
  <si>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</si>
  <si>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</si>
  <si>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</si>
  <si>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</si>
  <si>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</si>
  <si>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</si>
  <si>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</si>
  <si>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</si>
  <si>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</si>
  <si>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</si>
  <si>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</si>
  <si>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</si>
  <si>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</si>
  <si>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</si>
  <si>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</si>
  <si>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</si>
  <si>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</si>
  <si>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</si>
  <si>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</si>
  <si>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</si>
  <si>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</si>
  <si>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</si>
  <si>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</si>
  <si>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</si>
  <si>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</si>
  <si>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</si>
  <si>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</si>
  <si>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</si>
  <si>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</si>
  <si>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</si>
  <si>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</si>
  <si>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</si>
  <si>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</si>
  <si>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</si>
  <si>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</si>
  <si>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</si>
  <si>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</si>
  <si>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</si>
  <si>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</si>
  <si>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</si>
  <si>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</si>
  <si>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</si>
  <si>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</si>
  <si>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</si>
  <si>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</si>
  <si>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</si>
  <si>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</si>
  <si>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</si>
  <si>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</si>
  <si>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</si>
  <si>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</si>
  <si>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</si>
  <si>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</si>
  <si>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</si>
  <si>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</si>
  <si>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</si>
  <si>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</si>
  <si>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</si>
  <si>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</si>
  <si>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</si>
  <si>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</si>
  <si>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</si>
  <si>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</si>
  <si>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</si>
  <si>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</si>
  <si>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</si>
  <si>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</si>
  <si>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</si>
  <si>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</si>
  <si>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</si>
  <si>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</si>
  <si>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</si>
  <si>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</si>
  <si>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</si>
  <si>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</si>
  <si>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</si>
  <si>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</si>
  <si>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</si>
  <si>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</si>
  <si>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</si>
  <si>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</si>
  <si>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</si>
  <si>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</si>
  <si>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</si>
  <si>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</si>
  <si>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</si>
  <si>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</si>
  <si>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</si>
  <si>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</si>
  <si>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</si>
  <si>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</si>
  <si>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</si>
  <si>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</si>
  <si>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</si>
  <si>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</si>
  <si>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</si>
  <si>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</si>
  <si>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</si>
  <si>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</si>
  <si>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</si>
  <si>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</si>
  <si>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</si>
  <si>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</si>
  <si>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</si>
  <si>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</si>
  <si>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</si>
  <si>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</si>
  <si>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</si>
  <si>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</si>
  <si>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</si>
  <si>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</si>
  <si>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</si>
  <si>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</si>
  <si>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</si>
  <si>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</si>
  <si>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</si>
  <si>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</si>
  <si>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</si>
  <si>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</si>
  <si>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</si>
  <si>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</si>
  <si>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</si>
  <si>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</si>
  <si>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</si>
  <si>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</si>
  <si>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</si>
  <si>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</si>
  <si>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</si>
  <si>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</si>
  <si>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</si>
  <si>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</si>
  <si>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</si>
  <si>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</si>
  <si>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</si>
  <si>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</si>
  <si>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</si>
  <si>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</si>
  <si>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</si>
  <si>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</si>
  <si>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</si>
  <si>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</si>
  <si>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</si>
  <si>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</si>
  <si>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</si>
  <si>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</si>
  <si>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</si>
  <si>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</si>
  <si>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</si>
  <si>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</si>
  <si>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</si>
  <si>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</si>
  <si>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</si>
  <si>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</si>
  <si>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</si>
  <si>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</si>
  <si>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</si>
  <si>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</si>
  <si>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</si>
  <si>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</si>
  <si>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</si>
  <si>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</si>
  <si>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</si>
  <si>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</si>
  <si>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</si>
  <si>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</si>
  <si>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</si>
  <si>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</si>
  <si>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</si>
  <si>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</si>
  <si>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</si>
  <si>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</si>
  <si>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</si>
  <si>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</si>
  <si>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</si>
  <si>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</si>
  <si>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</si>
  <si>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</si>
  <si>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</si>
  <si>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</si>
  <si>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</si>
  <si>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</si>
  <si>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</si>
  <si>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</si>
  <si>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</si>
  <si>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</si>
  <si>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</si>
  <si>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</si>
  <si>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</si>
  <si>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</si>
  <si>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</si>
  <si>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</si>
  <si>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</si>
  <si>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</si>
  <si>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</si>
  <si>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</si>
  <si>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</si>
  <si>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</si>
  <si>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</si>
  <si>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</si>
  <si>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</si>
  <si>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</si>
  <si>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</si>
  <si>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</si>
  <si>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</si>
  <si>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</si>
  <si>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</si>
  <si>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</si>
  <si>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</si>
  <si>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</si>
  <si>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</si>
  <si>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</si>
  <si>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</si>
  <si>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</si>
  <si>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</si>
  <si>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</si>
  <si>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</si>
  <si>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</si>
  <si>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</si>
  <si>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</si>
  <si>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</si>
  <si>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</si>
  <si>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</si>
  <si>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</si>
  <si>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</si>
  <si>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</si>
  <si>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</si>
  <si>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</si>
  <si>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</si>
  <si>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</si>
  <si>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</si>
  <si>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</si>
  <si>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</si>
  <si>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</si>
  <si>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</si>
  <si>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</si>
  <si>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</si>
  <si>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</si>
  <si>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</si>
  <si>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</si>
  <si>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</si>
  <si>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</si>
  <si>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</si>
  <si>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</si>
  <si>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</si>
  <si>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</si>
  <si>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</si>
  <si>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</si>
  <si>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</si>
  <si>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</si>
  <si>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</si>
  <si>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</si>
  <si>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</si>
  <si>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</si>
  <si>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</si>
  <si>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</si>
  <si>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</si>
  <si>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</si>
  <si>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</si>
  <si>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</si>
  <si>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</si>
  <si>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</si>
  <si>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</si>
  <si>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</si>
  <si>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</si>
  <si>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</si>
  <si>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</si>
  <si>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</si>
  <si>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</si>
  <si>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</si>
  <si>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</si>
  <si>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</si>
  <si>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</si>
  <si>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</si>
  <si>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</si>
  <si>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</si>
  <si>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</si>
  <si>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</si>
  <si>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</si>
  <si>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</si>
  <si>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</si>
  <si>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</si>
  <si>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</si>
  <si>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</si>
  <si>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</si>
  <si>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</si>
  <si>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</si>
  <si>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</si>
  <si>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</si>
  <si>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</si>
  <si>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</si>
  <si>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</si>
  <si>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</si>
  <si>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</si>
  <si>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</si>
  <si>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</si>
  <si>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</si>
  <si>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</si>
  <si>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</si>
  <si>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</si>
  <si>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</si>
  <si>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</si>
  <si>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</si>
  <si>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</si>
  <si>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</si>
  <si>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</si>
  <si>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</si>
  <si>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</si>
  <si>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</si>
  <si>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</si>
  <si>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</si>
  <si>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</si>
  <si>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</si>
  <si>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</si>
  <si>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</si>
  <si>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</si>
  <si>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</si>
  <si>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</si>
  <si>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</si>
  <si>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</si>
  <si>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</si>
  <si>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</si>
  <si>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</si>
  <si>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</si>
  <si>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</si>
  <si>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</si>
  <si>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</si>
  <si>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</si>
  <si>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</si>
  <si>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</si>
  <si>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</si>
  <si>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</si>
  <si>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</si>
  <si>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</si>
  <si>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</si>
  <si>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</si>
  <si>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</si>
  <si>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</si>
  <si>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</si>
  <si>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</si>
  <si>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</si>
  <si>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</si>
  <si>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</si>
  <si>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</si>
  <si>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</si>
  <si>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</si>
  <si>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</si>
  <si>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</si>
  <si>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</si>
  <si>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</si>
  <si>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</si>
  <si>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</si>
  <si>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</si>
  <si>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</si>
  <si>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</si>
  <si>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</si>
  <si>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</si>
  <si>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</si>
  <si>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</si>
  <si>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</si>
  <si>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</si>
  <si>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</si>
  <si>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</si>
  <si>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</si>
  <si>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</si>
  <si>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</si>
  <si>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</si>
  <si>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</si>
  <si>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</si>
  <si>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</si>
  <si>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</si>
  <si>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</si>
  <si>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</si>
  <si>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</si>
  <si>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</si>
  <si>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</si>
  <si>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</si>
  <si>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</si>
  <si>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</si>
  <si>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</si>
  <si>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</si>
  <si>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</si>
  <si>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</si>
  <si>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</si>
  <si>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</si>
  <si>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</si>
  <si>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</si>
  <si>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</si>
  <si>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</si>
  <si>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</si>
  <si>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</si>
  <si>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</si>
  <si>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</si>
  <si>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</si>
  <si>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</si>
  <si>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</si>
  <si>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</si>
  <si>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</si>
  <si>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</si>
  <si>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</si>
  <si>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</si>
  <si>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</si>
  <si>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</si>
  <si>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</si>
  <si>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</si>
  <si>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</si>
  <si>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</si>
  <si>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</si>
  <si>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</si>
  <si>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</si>
  <si>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</si>
  <si>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</si>
  <si>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</si>
  <si>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</si>
  <si>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</si>
  <si>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</si>
  <si>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</si>
  <si>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</si>
  <si>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</si>
  <si>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</si>
  <si>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</si>
  <si>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</si>
  <si>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</si>
  <si>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</si>
  <si>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</si>
  <si>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</si>
  <si>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</si>
  <si>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</si>
  <si>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</si>
  <si>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</si>
  <si>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</si>
  <si>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</si>
  <si>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</si>
  <si>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</si>
  <si>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</si>
  <si>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</si>
  <si>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</si>
  <si>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</si>
  <si>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</si>
  <si>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</si>
  <si>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</si>
  <si>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</si>
  <si>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</si>
  <si>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</si>
  <si>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</si>
  <si>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</si>
  <si>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</si>
  <si>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</si>
  <si>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</si>
  <si>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</si>
  <si>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</si>
  <si>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</si>
  <si>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</si>
  <si>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</si>
  <si>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</si>
  <si>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</si>
  <si>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</si>
  <si>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</si>
  <si>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</si>
  <si>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</si>
  <si>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</si>
  <si>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</si>
  <si>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</si>
  <si>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</si>
  <si>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</si>
  <si>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</si>
  <si>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</si>
  <si>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</si>
  <si>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</si>
  <si>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</si>
  <si>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</si>
  <si>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</si>
  <si>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</si>
  <si>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</si>
  <si>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</si>
  <si>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</si>
  <si>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</si>
  <si>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</si>
  <si>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</si>
  <si>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</si>
  <si>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</si>
  <si>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</si>
  <si>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</si>
  <si>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</si>
  <si>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</si>
  <si>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</si>
  <si>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</si>
  <si>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</si>
  <si>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</si>
  <si>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</si>
  <si>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</si>
  <si>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</si>
  <si>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</si>
  <si>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</si>
  <si>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</si>
  <si>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</si>
  <si>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</si>
  <si>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</si>
  <si>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</si>
  <si>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</si>
  <si>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</si>
  <si>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</si>
  <si>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</si>
  <si>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</si>
  <si>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</si>
  <si>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</si>
  <si>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</si>
  <si>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</si>
  <si>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</si>
  <si>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</si>
  <si>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</si>
  <si>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</si>
  <si>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</si>
  <si>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</si>
  <si>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</si>
  <si>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</si>
  <si>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</si>
  <si>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</si>
  <si>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</si>
  <si>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</si>
  <si>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</si>
  <si>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</si>
  <si>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</si>
  <si>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</si>
  <si>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</si>
  <si>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</si>
  <si>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</si>
  <si>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</si>
  <si>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</si>
  <si>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</si>
  <si>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</si>
  <si>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</si>
  <si>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</si>
  <si>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</si>
  <si>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</si>
  <si>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</si>
  <si>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</si>
  <si>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</si>
  <si>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</si>
  <si>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</si>
  <si>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</si>
  <si>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</si>
  <si>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</si>
  <si>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</si>
  <si>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</si>
  <si>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</si>
  <si>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</si>
  <si>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</si>
  <si>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</si>
  <si>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</si>
  <si>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</si>
  <si>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</si>
  <si>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</si>
  <si>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</si>
  <si>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</si>
  <si>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</si>
  <si>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</si>
  <si>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</si>
  <si>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</si>
  <si>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</si>
  <si>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</si>
  <si>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</si>
  <si>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</si>
  <si>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</si>
  <si>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</si>
  <si>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</si>
  <si>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</si>
  <si>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</si>
  <si>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</si>
  <si>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</si>
  <si>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</si>
  <si>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</si>
  <si>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</si>
  <si>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</si>
  <si>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</si>
  <si>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</si>
  <si>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</si>
  <si>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</si>
  <si>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</si>
  <si>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</si>
  <si>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</si>
  <si>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</si>
  <si>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</si>
  <si>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</si>
  <si>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</si>
  <si>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</si>
  <si>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</si>
  <si>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</si>
  <si>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</si>
  <si>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</si>
  <si>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</si>
  <si>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</si>
  <si>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</si>
  <si>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</si>
  <si>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</si>
  <si>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</si>
  <si>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</si>
  <si>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</si>
  <si>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</si>
  <si>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</si>
  <si>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</si>
  <si>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</si>
  <si>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</si>
  <si>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</si>
  <si>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</si>
  <si>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</si>
  <si>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</si>
  <si>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</si>
  <si>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</si>
  <si>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</si>
  <si>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</si>
  <si>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</si>
  <si>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</si>
  <si>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</si>
  <si>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</si>
  <si>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</si>
  <si>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</si>
  <si>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</si>
  <si>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</si>
  <si>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</si>
  <si>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</si>
  <si>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</si>
  <si>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</si>
  <si>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</si>
  <si>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</si>
  <si>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</si>
  <si>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</si>
  <si>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</si>
  <si>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</si>
  <si>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</si>
  <si>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</si>
  <si>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</si>
  <si>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</si>
  <si>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</si>
  <si>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</si>
  <si>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</si>
  <si>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</si>
  <si>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</si>
  <si>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</si>
  <si>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</si>
  <si>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</si>
  <si>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</si>
  <si>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</si>
  <si>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</si>
  <si>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</si>
  <si>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</si>
  <si>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</si>
  <si>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</si>
  <si>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</si>
  <si>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</si>
  <si>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</si>
  <si>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</si>
  <si>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</si>
  <si>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</si>
  <si>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</si>
  <si>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</si>
  <si>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</si>
  <si>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</si>
  <si>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</si>
  <si>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</si>
  <si>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</si>
  <si>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</si>
  <si>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</si>
  <si>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</si>
  <si>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</si>
  <si>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</si>
  <si>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</si>
  <si>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</si>
  <si>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</si>
  <si>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</si>
  <si>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</si>
  <si>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</si>
  <si>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</si>
  <si>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</si>
  <si>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</si>
  <si>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</si>
  <si>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</si>
  <si>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</si>
  <si>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</si>
  <si>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</si>
  <si>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</si>
  <si>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</si>
  <si>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</si>
  <si>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</si>
  <si>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</si>
  <si>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</si>
  <si>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</si>
  <si>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</si>
  <si>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</si>
  <si>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</si>
  <si>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</si>
  <si>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</si>
  <si>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</si>
  <si>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</si>
  <si>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</si>
  <si>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</si>
  <si>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</si>
  <si>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</si>
  <si>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</si>
  <si>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</si>
  <si>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</si>
  <si>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</si>
  <si>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</si>
  <si>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</si>
  <si>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</si>
  <si>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</si>
  <si>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</si>
  <si>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</si>
  <si>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</si>
  <si>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</si>
  <si>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</si>
  <si>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</si>
  <si>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</si>
  <si>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</si>
  <si>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</si>
  <si>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</si>
  <si>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</si>
  <si>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</si>
  <si>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</si>
  <si>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</si>
  <si>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</si>
  <si>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</si>
  <si>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</si>
  <si>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</si>
  <si>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</si>
  <si>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</si>
  <si>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</si>
  <si>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</si>
  <si>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</si>
  <si>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</si>
  <si>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</si>
  <si>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</si>
  <si>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</si>
  <si>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</si>
  <si>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</si>
  <si>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</si>
  <si>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</si>
  <si>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</si>
  <si>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</si>
  <si>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</si>
  <si>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</si>
  <si>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</si>
  <si>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</si>
  <si>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</si>
  <si>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</si>
  <si>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</si>
  <si>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</si>
  <si>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</si>
  <si>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</si>
  <si>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</si>
  <si>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</si>
  <si>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</si>
  <si>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</si>
  <si>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</si>
  <si>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</si>
  <si>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</si>
  <si>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</si>
  <si>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</si>
  <si>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</si>
  <si>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</si>
  <si>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</si>
  <si>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</si>
  <si>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</si>
  <si>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</si>
  <si>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</si>
  <si>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</si>
  <si>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</si>
  <si>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</si>
  <si>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</si>
  <si>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</si>
  <si>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</si>
  <si>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</si>
  <si>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</si>
  <si>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</si>
  <si>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</si>
  <si>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</si>
  <si>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</si>
  <si>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</si>
  <si>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</si>
  <si>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</si>
  <si>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</si>
  <si>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</si>
  <si>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</si>
  <si>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</si>
  <si>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</si>
  <si>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</si>
  <si>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</si>
  <si>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</si>
  <si>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</si>
  <si>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</si>
  <si>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</si>
  <si>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</si>
  <si>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</si>
  <si>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</si>
  <si>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</si>
  <si>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</si>
  <si>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</si>
  <si>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</si>
  <si>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</si>
  <si>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</si>
  <si>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</si>
  <si>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</si>
  <si>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</si>
  <si>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</si>
  <si>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</si>
  <si>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</si>
  <si>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</si>
  <si>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</si>
  <si>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</si>
  <si>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</si>
  <si>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</si>
  <si>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</si>
  <si>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</si>
  <si>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</si>
  <si>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</si>
  <si>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</si>
  <si>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</si>
  <si>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</si>
  <si>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</si>
  <si>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</si>
  <si>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</si>
  <si>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</si>
  <si>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</si>
  <si>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</si>
  <si>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</si>
  <si>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</si>
  <si>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</si>
  <si>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</si>
  <si>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</si>
  <si>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</si>
  <si>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</si>
  <si>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</si>
  <si>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</si>
  <si>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</si>
  <si>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</si>
  <si>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</si>
  <si>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</si>
  <si>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</si>
  <si>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</si>
  <si>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</si>
  <si>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</si>
  <si>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</si>
  <si>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</si>
  <si>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</si>
  <si>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</si>
  <si>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</si>
  <si>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</si>
  <si>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</si>
  <si>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</si>
  <si>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</si>
  <si>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</si>
  <si>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</si>
  <si>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</si>
  <si>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</si>
  <si>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</si>
  <si>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</si>
  <si>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</si>
  <si>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</si>
  <si>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</si>
  <si>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</si>
  <si>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</si>
  <si>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</si>
  <si>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</si>
  <si>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</si>
  <si>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</si>
  <si>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</si>
  <si>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</si>
  <si>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</si>
  <si>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</si>
  <si>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</si>
  <si>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</si>
  <si>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</si>
  <si>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</si>
  <si>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</si>
  <si>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</si>
  <si>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</si>
  <si>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</si>
  <si>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</si>
  <si>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</si>
  <si>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</si>
  <si>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</si>
  <si>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</si>
  <si>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</si>
  <si>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</si>
  <si>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</si>
  <si>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</si>
  <si>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</si>
  <si>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</si>
  <si>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</si>
  <si>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</si>
  <si>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</si>
  <si>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</si>
  <si>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</si>
  <si>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</si>
  <si>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</si>
  <si>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</si>
  <si>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</si>
  <si>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</si>
  <si>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</si>
  <si>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</si>
  <si>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</si>
  <si>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</si>
  <si>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</si>
  <si>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</si>
  <si>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</si>
  <si>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</si>
  <si>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</si>
  <si>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</si>
  <si>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</si>
  <si>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</si>
  <si>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</si>
  <si>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</si>
  <si>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</si>
  <si>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</si>
  <si>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</si>
  <si>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</si>
  <si>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</si>
  <si>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</si>
  <si>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</si>
  <si>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</si>
  <si>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</si>
  <si>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</si>
  <si>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</si>
  <si>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</si>
  <si>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</si>
  <si>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</si>
  <si>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</si>
  <si>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</si>
  <si>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</si>
  <si>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</si>
  <si>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</si>
  <si>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</si>
  <si>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</si>
  <si>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</si>
  <si>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</si>
  <si>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</si>
  <si>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</si>
  <si>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</si>
  <si>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</si>
  <si>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</si>
  <si>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</si>
  <si>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</si>
  <si>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</si>
  <si>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</si>
  <si>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</si>
  <si>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</si>
  <si>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</si>
  <si>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</si>
  <si>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</si>
  <si>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</si>
  <si>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</si>
  <si>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</si>
  <si>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</si>
  <si>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</si>
  <si>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</si>
  <si>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</si>
  <si>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</si>
  <si>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</si>
  <si>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</si>
  <si>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</si>
  <si>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</si>
  <si>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</si>
  <si>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</si>
  <si>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</si>
  <si>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</si>
  <si>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</si>
  <si>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</si>
  <si>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</si>
  <si>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</si>
  <si>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</si>
  <si>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</si>
  <si>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</si>
  <si>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</si>
  <si>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</si>
  <si>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</si>
  <si>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</si>
  <si>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</si>
  <si>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</si>
  <si>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</si>
  <si>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</si>
  <si>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</si>
  <si>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</si>
  <si>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</si>
  <si>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</si>
  <si>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</si>
  <si>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</si>
  <si>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</si>
  <si>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</si>
  <si>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</si>
  <si>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</si>
  <si>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</si>
  <si>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</si>
  <si>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</si>
  <si>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</si>
  <si>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</si>
  <si>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</si>
  <si>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</si>
  <si>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</si>
  <si>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</si>
  <si>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</si>
  <si>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</si>
  <si>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</si>
  <si>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</si>
  <si>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</si>
  <si>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</si>
  <si>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</si>
  <si>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</si>
  <si>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</si>
  <si>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</si>
  <si>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</si>
  <si>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</si>
  <si>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</si>
  <si>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</si>
  <si>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</si>
  <si>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</si>
  <si>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</si>
  <si>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</si>
  <si>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</si>
  <si>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</si>
  <si>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</si>
  <si>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</si>
  <si>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</si>
  <si>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</si>
  <si>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</si>
  <si>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</si>
  <si>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</si>
  <si>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</si>
  <si>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</si>
  <si>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</si>
  <si>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</si>
  <si>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</si>
  <si>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</si>
  <si>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</si>
  <si>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</si>
  <si>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</si>
  <si>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</si>
  <si>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</si>
  <si>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</si>
  <si>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</si>
  <si>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</si>
  <si>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</si>
  <si>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</si>
  <si>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</si>
  <si>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</si>
  <si>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</si>
  <si>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</si>
  <si>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</si>
  <si>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</si>
  <si>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</si>
  <si>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</si>
  <si>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</si>
  <si>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</si>
  <si>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</si>
  <si>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</si>
  <si>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</si>
  <si>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</si>
  <si>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</si>
  <si>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</si>
  <si>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</si>
  <si>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</si>
  <si>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</si>
  <si>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</si>
  <si>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</si>
  <si>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</si>
  <si>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</si>
  <si>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</si>
  <si>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</si>
  <si>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</si>
  <si>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</si>
  <si>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</si>
  <si>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</si>
  <si>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</si>
  <si>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</si>
  <si>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</si>
  <si>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</si>
  <si>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</si>
  <si>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</si>
  <si>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</si>
  <si>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</si>
  <si>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</si>
  <si>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</si>
  <si>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</si>
  <si>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</si>
  <si>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</si>
  <si>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</si>
  <si>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</si>
  <si>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</si>
  <si>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</si>
  <si>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</si>
  <si>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</si>
  <si>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</si>
  <si>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</si>
  <si>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</si>
  <si>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</si>
  <si>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</si>
  <si>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</si>
  <si>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</si>
  <si>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</si>
  <si>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</si>
  <si>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</si>
  <si>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</si>
  <si>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</si>
  <si>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</si>
  <si>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</si>
  <si>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</si>
  <si>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</si>
  <si>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</si>
  <si>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</si>
  <si>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</si>
  <si>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</si>
  <si>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</si>
  <si>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</si>
  <si>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</si>
  <si>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</si>
  <si>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</si>
  <si>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</si>
  <si>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</si>
  <si>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</si>
  <si>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</si>
  <si>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</si>
  <si>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</si>
  <si>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</si>
  <si>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</si>
  <si>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</si>
  <si>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</si>
  <si>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</si>
  <si>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</si>
  <si>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</si>
  <si>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</si>
  <si>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</si>
  <si>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</si>
  <si>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</si>
  <si>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</si>
  <si>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</si>
  <si>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</si>
  <si>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</si>
  <si>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</si>
  <si>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</si>
  <si>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</si>
  <si>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</si>
  <si>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</si>
  <si>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</si>
  <si>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</si>
  <si>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</si>
  <si>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</si>
  <si>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</si>
  <si>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</si>
  <si>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</si>
  <si>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</si>
  <si>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</si>
  <si>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</si>
  <si>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</si>
  <si>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</si>
  <si>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</si>
  <si>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</si>
  <si>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</si>
  <si>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</si>
  <si>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</si>
  <si>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</si>
  <si>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</si>
  <si>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</si>
  <si>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</si>
  <si>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</si>
  <si>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</si>
  <si>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</si>
  <si>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</si>
  <si>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</si>
  <si>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</si>
  <si>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</si>
  <si>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</si>
  <si>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</si>
  <si>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</si>
  <si>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</si>
  <si>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</si>
  <si>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</si>
  <si>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</si>
  <si>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</si>
  <si>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</si>
  <si>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</si>
  <si>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</si>
  <si>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</si>
  <si>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</si>
  <si>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</si>
  <si>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</si>
  <si>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</si>
  <si>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</si>
  <si>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</si>
  <si>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</si>
  <si>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</si>
  <si>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</si>
  <si>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</si>
  <si>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</si>
  <si>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</si>
  <si>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</si>
  <si>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</si>
  <si>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</si>
  <si>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</si>
  <si>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</si>
  <si>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</si>
  <si>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</si>
  <si>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</si>
  <si>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</si>
  <si>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</si>
  <si>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</si>
  <si>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</si>
  <si>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</si>
  <si>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</si>
  <si>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</si>
  <si>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</si>
  <si>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</si>
  <si>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</si>
  <si>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</si>
  <si>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</si>
  <si>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</si>
  <si>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</si>
  <si>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</si>
  <si>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</si>
  <si>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</si>
  <si>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</si>
  <si>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</si>
  <si>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</si>
  <si>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</si>
  <si>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</si>
  <si>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</si>
  <si>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</si>
  <si>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</si>
  <si>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</si>
  <si>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</si>
  <si>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</si>
  <si>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</si>
  <si>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</si>
  <si>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</si>
  <si>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</si>
  <si>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</si>
  <si>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</si>
  <si>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</si>
  <si>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</si>
  <si>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</si>
  <si>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</si>
  <si>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</si>
  <si>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</si>
  <si>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</si>
  <si>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</si>
  <si>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</si>
  <si>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</si>
  <si>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</si>
  <si>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</si>
  <si>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</si>
  <si>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</si>
  <si>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</si>
  <si>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</si>
  <si>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</si>
  <si>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</si>
  <si>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</si>
  <si>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</si>
  <si>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</si>
  <si>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</si>
  <si>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</si>
  <si>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</si>
  <si>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</si>
  <si>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</si>
  <si>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</si>
  <si>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</si>
  <si>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</si>
  <si>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</si>
  <si>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</si>
  <si>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</si>
  <si>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</si>
  <si>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</si>
  <si>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</si>
  <si>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</si>
  <si>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</si>
  <si>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</si>
  <si>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</si>
  <si>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</si>
  <si>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</si>
  <si>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</si>
  <si>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</si>
  <si>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</si>
  <si>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</si>
  <si>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</si>
  <si>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</si>
  <si>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</si>
  <si>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</si>
  <si>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</si>
  <si>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</si>
  <si>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</si>
  <si>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</si>
  <si>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</si>
  <si>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</si>
  <si>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</si>
  <si>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</si>
  <si>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</si>
  <si>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</si>
  <si>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</si>
  <si>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</si>
  <si>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</si>
  <si>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</si>
  <si>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</si>
  <si>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</si>
  <si>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</si>
  <si>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</si>
  <si>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</si>
  <si>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</si>
  <si>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</si>
  <si>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</si>
  <si>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</si>
  <si>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</si>
  <si>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</si>
  <si>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</si>
  <si>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</si>
  <si>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</si>
  <si>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</si>
  <si>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</si>
  <si>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</si>
  <si>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</si>
  <si>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</si>
  <si>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</si>
  <si>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</si>
  <si>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</si>
  <si>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</si>
  <si>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</si>
  <si>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</si>
  <si>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</si>
  <si>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</si>
  <si>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</si>
  <si>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</si>
  <si>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</si>
  <si>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</si>
  <si>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</si>
  <si>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</si>
  <si>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</si>
  <si>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</si>
  <si>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</si>
  <si>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</si>
  <si>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</si>
  <si>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</si>
  <si>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</si>
  <si>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</si>
  <si>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</si>
  <si>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</si>
  <si>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</si>
  <si>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</si>
  <si>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</si>
  <si>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</si>
  <si>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</si>
  <si>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</si>
  <si>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</si>
  <si>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</si>
  <si>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</si>
  <si>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</si>
  <si>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</si>
  <si>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</si>
  <si>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</si>
  <si>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</si>
  <si>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</si>
  <si>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</si>
  <si>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</si>
  <si>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</si>
  <si>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</si>
  <si>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</si>
  <si>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</si>
  <si>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</si>
  <si>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</si>
  <si>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</si>
  <si>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</si>
  <si>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</si>
  <si>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</si>
  <si>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</si>
  <si>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</si>
  <si>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</si>
  <si>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</si>
  <si>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</si>
  <si>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</si>
  <si>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</si>
  <si>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</si>
  <si>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</si>
  <si>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</si>
  <si>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</si>
  <si>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</si>
  <si>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</si>
  <si>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</si>
  <si>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</si>
  <si>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</si>
  <si>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</si>
  <si>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</si>
  <si>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</si>
  <si>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</si>
  <si>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</si>
  <si>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</si>
  <si>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</si>
  <si>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</si>
  <si>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</si>
  <si>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</si>
  <si>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</si>
  <si>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</si>
  <si>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</si>
  <si>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</si>
  <si>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</si>
  <si>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</si>
  <si>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</si>
  <si>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</si>
  <si>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</si>
  <si>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</si>
  <si>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</si>
  <si>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</si>
  <si>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</si>
  <si>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</si>
  <si>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</si>
  <si>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</si>
  <si>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</si>
  <si>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</si>
  <si>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</si>
  <si>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</si>
  <si>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</si>
  <si>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</si>
  <si>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</si>
  <si>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</si>
  <si>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</si>
  <si>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</si>
  <si>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</si>
  <si>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</si>
  <si>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</si>
  <si>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</si>
  <si>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</si>
  <si>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</si>
  <si>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</si>
  <si>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</si>
  <si>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</si>
  <si>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</si>
  <si>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</si>
  <si>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</si>
  <si>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</si>
  <si>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</si>
  <si>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</si>
  <si>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</si>
  <si>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</si>
  <si>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</si>
  <si>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</si>
  <si>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</si>
  <si>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</si>
  <si>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</si>
  <si>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</si>
  <si>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</si>
  <si>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</si>
  <si>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</si>
  <si>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</si>
  <si>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</si>
  <si>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</si>
  <si>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</si>
  <si>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</si>
  <si>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</si>
  <si>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</si>
  <si>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</si>
  <si>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</si>
  <si>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</si>
  <si>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</si>
  <si>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</si>
  <si>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</si>
  <si>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</si>
  <si>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</si>
  <si>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</si>
  <si>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</si>
  <si>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</si>
  <si>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</si>
  <si>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</si>
  <si>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</si>
  <si>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</si>
  <si>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</si>
  <si>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</si>
  <si>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</si>
  <si>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</si>
  <si>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</si>
  <si>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</si>
  <si>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</si>
  <si>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</si>
  <si>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</si>
  <si>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</si>
  <si>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</si>
  <si>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</si>
  <si>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</si>
  <si>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</si>
  <si>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</si>
  <si>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</si>
  <si>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</si>
  <si>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</si>
  <si>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</si>
  <si>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</si>
  <si>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</si>
  <si>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</si>
  <si>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</si>
  <si>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</si>
  <si>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</si>
  <si>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</si>
  <si>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</si>
  <si>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</si>
  <si>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</si>
  <si>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</si>
  <si>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</si>
  <si>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</si>
  <si>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</si>
  <si>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</si>
  <si>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</si>
  <si>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</si>
  <si>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</si>
  <si>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</si>
  <si>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</si>
  <si>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</si>
  <si>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</si>
  <si>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</si>
  <si>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</si>
  <si>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</si>
  <si>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</si>
  <si>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</si>
  <si>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</si>
  <si>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</si>
  <si>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</si>
  <si>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</si>
  <si>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</si>
  <si>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</si>
  <si>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</si>
  <si>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</si>
  <si>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</si>
  <si>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</si>
  <si>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</si>
  <si>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</si>
  <si>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</si>
  <si>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</si>
  <si>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</si>
  <si>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</si>
  <si>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</si>
  <si>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</si>
  <si>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</si>
  <si>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</si>
  <si>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</si>
  <si>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</si>
  <si>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</si>
  <si>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</si>
  <si>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</si>
  <si>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</si>
  <si>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</si>
  <si>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</si>
  <si>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</si>
  <si>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</si>
  <si>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</si>
  <si>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</si>
  <si>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</si>
  <si>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</si>
  <si>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</si>
  <si>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</si>
  <si>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</si>
  <si>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</si>
  <si>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</si>
  <si>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</si>
  <si>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</si>
  <si>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</si>
  <si>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</si>
  <si>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</si>
  <si>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</si>
  <si>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</si>
  <si>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</si>
  <si>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</si>
  <si>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</si>
  <si>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</si>
  <si>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</si>
  <si>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</si>
  <si>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</si>
  <si>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</si>
  <si>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</si>
  <si>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</si>
  <si>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</si>
  <si>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</si>
  <si>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</si>
  <si>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</si>
  <si>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</si>
  <si>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</si>
  <si>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</si>
  <si>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</si>
  <si>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</si>
  <si>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</si>
  <si>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</si>
  <si>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</si>
  <si>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</si>
  <si>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</si>
  <si>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</si>
  <si>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</si>
  <si>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</si>
  <si>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</si>
  <si>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</si>
  <si>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</si>
  <si>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</si>
  <si>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</si>
  <si>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</si>
  <si>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</si>
  <si>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</si>
  <si>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</si>
  <si>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</si>
  <si>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</si>
  <si>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</si>
  <si>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</si>
  <si>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</si>
  <si>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</si>
  <si>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</si>
  <si>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</si>
  <si>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</si>
  <si>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</si>
  <si>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</si>
  <si>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</si>
  <si>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</si>
  <si>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</si>
  <si>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</si>
  <si>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</si>
  <si>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</si>
  <si>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</si>
  <si>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</si>
  <si>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</si>
  <si>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</si>
  <si>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</si>
  <si>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</si>
  <si>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</si>
  <si>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</si>
  <si>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</si>
  <si>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</si>
  <si>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</si>
  <si>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</si>
  <si>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</si>
  <si>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</si>
  <si>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</si>
  <si>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</si>
  <si>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</si>
  <si>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</si>
  <si>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</si>
  <si>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</si>
  <si>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</si>
  <si>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</si>
  <si>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</si>
  <si>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</si>
  <si>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</si>
  <si>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</si>
  <si>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</si>
  <si>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</si>
  <si>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</si>
  <si>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</si>
  <si>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</si>
  <si>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</si>
  <si>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</si>
  <si>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</si>
  <si>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</si>
  <si>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</si>
  <si>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</si>
  <si>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</si>
  <si>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</si>
  <si>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</si>
  <si>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</si>
  <si>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</si>
  <si>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</si>
  <si>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</si>
  <si>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</si>
  <si>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</si>
  <si>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</si>
  <si>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</si>
  <si>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</si>
  <si>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</si>
  <si>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</si>
  <si>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</si>
  <si>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</si>
  <si>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</si>
  <si>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</si>
  <si>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</si>
  <si>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</si>
  <si>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</si>
  <si>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</si>
  <si>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</si>
  <si>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</si>
  <si>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</si>
  <si>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</si>
  <si>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</si>
  <si>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</si>
  <si>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</si>
  <si>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</si>
  <si>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</si>
  <si>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</si>
  <si>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</si>
  <si>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</si>
  <si>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</si>
  <si>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</si>
  <si>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</si>
  <si>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</si>
  <si>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</si>
  <si>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</si>
  <si>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</si>
  <si>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</si>
  <si>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</si>
  <si>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</si>
  <si>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</si>
  <si>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</si>
  <si>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</si>
  <si>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</si>
  <si>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</si>
  <si>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</si>
  <si>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</si>
  <si>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</si>
  <si>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</si>
  <si>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</si>
  <si>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</si>
  <si>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</si>
  <si>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</si>
  <si>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</si>
  <si>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</si>
  <si>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</si>
  <si>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</si>
  <si>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</si>
  <si>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</si>
  <si>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</si>
  <si>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</si>
  <si>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</si>
  <si>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</si>
  <si>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</si>
  <si>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</si>
  <si>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</si>
  <si>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</si>
  <si>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</si>
  <si>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</si>
  <si>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</si>
  <si>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</si>
  <si>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</si>
  <si>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</si>
  <si>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</si>
  <si>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</si>
  <si>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</si>
  <si>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</si>
  <si>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</si>
  <si>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</si>
  <si>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</si>
  <si>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</si>
  <si>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</si>
  <si>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</si>
  <si>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</si>
  <si>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</si>
  <si>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</si>
  <si>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</si>
  <si>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</si>
  <si>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</si>
  <si>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</si>
  <si>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</si>
  <si>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</si>
  <si>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</si>
  <si>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</si>
  <si>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</si>
  <si>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</si>
  <si>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</si>
  <si>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</si>
  <si>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</si>
  <si>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</si>
  <si>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</si>
  <si>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</si>
  <si>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</si>
  <si>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</si>
  <si>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</si>
  <si>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</si>
  <si>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</si>
  <si>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</si>
  <si>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</si>
  <si>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</si>
  <si>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</si>
  <si>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</si>
  <si>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</si>
  <si>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</si>
  <si>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</si>
  <si>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</si>
  <si>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</si>
  <si>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</si>
  <si>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</si>
  <si>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</si>
  <si>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</si>
  <si>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</si>
  <si>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</si>
  <si>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</si>
  <si>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</si>
  <si>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</si>
  <si>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</si>
  <si>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</si>
  <si>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</si>
  <si>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</si>
  <si>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</si>
  <si>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</si>
  <si>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</si>
  <si>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</si>
  <si>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</si>
  <si>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</si>
  <si>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</si>
  <si>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</si>
  <si>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</si>
  <si>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</si>
  <si>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</si>
  <si>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</si>
  <si>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</si>
  <si>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</si>
  <si>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</si>
  <si>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</si>
  <si>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</si>
  <si>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</si>
  <si>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</si>
  <si>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</si>
  <si>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</si>
  <si>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</si>
  <si>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</si>
  <si>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</si>
  <si>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</si>
  <si>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</si>
  <si>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</si>
  <si>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</si>
  <si>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</si>
  <si>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</si>
  <si>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</si>
  <si>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</si>
  <si>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</si>
  <si>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</si>
  <si>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</si>
  <si>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</si>
  <si>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</si>
  <si>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</si>
  <si>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</si>
  <si>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</si>
  <si>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</si>
  <si>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</si>
  <si>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</si>
  <si>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</si>
  <si>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</si>
  <si>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</si>
  <si>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</si>
  <si>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</si>
  <si>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</si>
  <si>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</si>
  <si>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</si>
  <si>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</si>
  <si>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</si>
  <si>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</si>
  <si>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</si>
  <si>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</si>
  <si>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</si>
  <si>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</si>
  <si>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</si>
  <si>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</si>
  <si>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</si>
  <si>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</si>
  <si>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</si>
  <si>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</si>
  <si>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</si>
  <si>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</si>
  <si>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</si>
  <si>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</si>
  <si>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</si>
  <si>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</si>
  <si>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</si>
  <si>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</si>
  <si>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</si>
  <si>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</si>
  <si>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</si>
  <si>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</si>
  <si>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</si>
  <si>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</si>
  <si>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</si>
  <si>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</si>
  <si>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</si>
  <si>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</si>
  <si>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</si>
  <si>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</si>
  <si>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</si>
  <si>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</si>
  <si>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</si>
  <si>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</si>
  <si>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</si>
  <si>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</si>
  <si>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</si>
  <si>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</si>
  <si>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</si>
  <si>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</si>
  <si>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</si>
  <si>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</si>
  <si>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</si>
  <si>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</si>
  <si>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</si>
  <si>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</si>
  <si>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</si>
  <si>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</si>
  <si>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</si>
  <si>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</si>
  <si>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</si>
  <si>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</si>
  <si>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</si>
  <si>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</si>
  <si>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</si>
  <si>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</si>
  <si>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</si>
  <si>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</si>
  <si>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</si>
  <si>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</si>
  <si>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</si>
  <si>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</si>
  <si>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</si>
  <si>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</si>
  <si>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</si>
  <si>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</si>
  <si>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</si>
  <si>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</si>
  <si>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</si>
  <si>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</si>
  <si>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</si>
  <si>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</si>
  <si>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</si>
  <si>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</si>
  <si>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</si>
  <si>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</si>
  <si>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</si>
  <si>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</si>
  <si>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</si>
  <si>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</si>
  <si>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</si>
  <si>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</si>
  <si>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</si>
  <si>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</si>
  <si>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</si>
  <si>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</si>
  <si>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</si>
  <si>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</si>
  <si>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</si>
  <si>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</si>
  <si>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</si>
  <si>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</si>
  <si>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</si>
  <si>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</si>
  <si>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</si>
  <si>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</si>
  <si>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</si>
  <si>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</si>
  <si>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</si>
  <si>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</si>
  <si>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</si>
  <si>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</si>
  <si>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</si>
  <si>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</si>
  <si>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</si>
  <si>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</si>
  <si>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</si>
  <si>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</si>
  <si>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</si>
  <si>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</si>
  <si>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</si>
  <si>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</si>
  <si>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</si>
  <si>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</si>
  <si>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</si>
  <si>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</si>
  <si>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</si>
  <si>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</si>
  <si>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</si>
  <si>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</si>
  <si>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</si>
  <si>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</si>
  <si>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</si>
  <si>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</si>
  <si>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</si>
  <si>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</si>
  <si>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</si>
  <si>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</si>
  <si>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</si>
  <si>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</si>
  <si>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</si>
  <si>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</si>
  <si>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</si>
  <si>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</si>
  <si>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</si>
  <si>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</si>
  <si>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</si>
  <si>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</si>
  <si>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</si>
  <si>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</si>
  <si>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</si>
  <si>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</si>
  <si>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</si>
  <si>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</si>
  <si>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</si>
  <si>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</si>
  <si>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</si>
  <si>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</si>
  <si>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</si>
  <si>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</si>
  <si>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</si>
  <si>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</si>
  <si>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</si>
  <si>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</si>
  <si>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</si>
  <si>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</si>
  <si>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</si>
  <si>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</si>
  <si>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</si>
  <si>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</si>
  <si>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</si>
  <si>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</si>
  <si>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</si>
  <si>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</si>
  <si>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</si>
  <si>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</si>
  <si>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</si>
  <si>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</si>
  <si>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</si>
  <si>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</si>
  <si>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</si>
  <si>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</si>
  <si>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</si>
  <si>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</si>
  <si>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</si>
  <si>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</si>
  <si>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</si>
  <si>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</si>
  <si>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</si>
  <si>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</si>
  <si>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</si>
  <si>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</si>
  <si>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</si>
  <si>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</si>
  <si>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</si>
  <si>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</si>
  <si>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</si>
  <si>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</si>
  <si>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</si>
  <si>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</si>
  <si>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</si>
  <si>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</si>
  <si>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</si>
  <si>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</si>
  <si>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</si>
  <si>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</si>
  <si>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</si>
  <si>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</si>
  <si>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</si>
  <si>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</si>
  <si>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</si>
  <si>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</si>
  <si>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</si>
  <si>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</si>
  <si>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</si>
  <si>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</si>
  <si>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</si>
  <si>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</si>
  <si>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</si>
  <si>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</si>
  <si>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</si>
  <si>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</si>
  <si>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</si>
  <si>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</si>
  <si>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</si>
  <si>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</si>
  <si>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</si>
  <si>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</si>
  <si>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</si>
  <si>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</si>
  <si>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</si>
  <si>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</si>
  <si>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</si>
  <si>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</si>
  <si>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</si>
  <si>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</si>
  <si>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</si>
  <si>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</si>
  <si>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</si>
  <si>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</si>
  <si>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</si>
  <si>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</si>
  <si>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</si>
  <si>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</si>
  <si>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</si>
  <si>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</si>
  <si>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</si>
  <si>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</si>
  <si>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</si>
  <si>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</si>
  <si>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</si>
  <si>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</si>
  <si>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</si>
  <si>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</si>
  <si>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</si>
  <si>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</si>
  <si>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</si>
  <si>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</si>
  <si>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</si>
  <si>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</si>
  <si>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</si>
  <si>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</si>
  <si>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</si>
  <si>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</si>
  <si>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</si>
  <si>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</si>
  <si>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</si>
  <si>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</si>
  <si>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</si>
  <si>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</si>
  <si>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</si>
  <si>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</si>
  <si>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</si>
  <si>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</si>
  <si>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</si>
  <si>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</si>
  <si>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</si>
  <si>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</si>
  <si>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</si>
  <si>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</si>
  <si>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</si>
  <si>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</si>
  <si>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</si>
  <si>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</si>
  <si>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</si>
  <si>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</si>
  <si>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</si>
  <si>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</si>
  <si>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</si>
  <si>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</si>
  <si>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</si>
  <si>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</si>
  <si>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</si>
  <si>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</si>
  <si>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</si>
  <si>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</si>
  <si>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</si>
  <si>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</si>
  <si>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</si>
  <si>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</si>
  <si>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</si>
  <si>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</si>
  <si>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</si>
  <si>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</si>
  <si>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</si>
  <si>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</si>
  <si>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</si>
  <si>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</si>
  <si>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</si>
  <si>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</si>
  <si>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</si>
  <si>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</si>
  <si>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</si>
  <si>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</si>
  <si>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</si>
  <si>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</si>
  <si>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</si>
  <si>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</si>
  <si>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</si>
  <si>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</si>
  <si>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</si>
  <si>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</si>
  <si>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</si>
  <si>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</si>
  <si>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</si>
  <si>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</si>
  <si>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</si>
  <si>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</si>
  <si>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</si>
  <si>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</si>
  <si>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</si>
  <si>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</si>
  <si>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</si>
  <si>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</si>
  <si>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</si>
  <si>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</si>
  <si>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</si>
  <si>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</si>
  <si>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</si>
  <si>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</si>
  <si>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</si>
  <si>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</si>
  <si>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</si>
  <si>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</si>
  <si>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</si>
  <si>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</si>
  <si>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</si>
  <si>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</si>
  <si>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</si>
  <si>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</si>
  <si>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</si>
  <si>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</si>
  <si>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</si>
  <si>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</si>
  <si>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</si>
  <si>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</si>
  <si>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</si>
  <si>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</si>
  <si>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</si>
  <si>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</si>
  <si>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</si>
  <si>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</si>
  <si>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</si>
  <si>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</si>
  <si>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</si>
  <si>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</si>
  <si>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</si>
  <si>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</si>
  <si>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</si>
  <si>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</si>
  <si>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</si>
  <si>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</si>
  <si>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</si>
  <si>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</si>
  <si>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</si>
  <si>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</si>
  <si>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</si>
  <si>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</si>
  <si>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</si>
  <si>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</si>
  <si>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</si>
  <si>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</si>
  <si>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</si>
  <si>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</si>
  <si>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</si>
  <si>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</si>
  <si>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</si>
  <si>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</si>
  <si>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</si>
  <si>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</si>
  <si>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</si>
  <si>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</si>
  <si>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</si>
  <si>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</si>
  <si>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</si>
  <si>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</si>
  <si>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</si>
  <si>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</si>
  <si>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</si>
  <si>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</si>
  <si>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</si>
  <si>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</si>
  <si>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</si>
  <si>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</si>
  <si>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</si>
  <si>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</si>
  <si>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</si>
  <si>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</si>
  <si>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</si>
  <si>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</si>
  <si>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</si>
  <si>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</si>
  <si>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</si>
  <si>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</si>
  <si>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</si>
  <si>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</si>
  <si>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</si>
  <si>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</si>
  <si>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</si>
  <si>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</si>
  <si>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</si>
  <si>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</si>
  <si>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</si>
  <si>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</si>
  <si>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</si>
  <si>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</si>
  <si>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</si>
  <si>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</si>
  <si>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</si>
  <si>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</si>
  <si>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</si>
  <si>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</si>
  <si>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</si>
  <si>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</si>
  <si>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</si>
  <si>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</si>
  <si>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</si>
  <si>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</si>
  <si>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</si>
  <si>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</si>
  <si>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</si>
  <si>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</si>
  <si>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</si>
  <si>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</si>
  <si>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</si>
  <si>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</si>
  <si>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</si>
  <si>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</si>
  <si>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</si>
  <si>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</si>
  <si>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</si>
  <si>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</si>
  <si>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</si>
  <si>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</si>
  <si>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</si>
  <si>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</si>
  <si>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</si>
  <si>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</si>
  <si>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</si>
  <si>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</si>
  <si>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</si>
  <si>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</si>
  <si>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</si>
  <si>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</si>
  <si>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</si>
  <si>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</si>
  <si>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</si>
  <si>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</si>
  <si>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</si>
  <si>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</si>
  <si>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</si>
  <si>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</si>
  <si>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</si>
  <si>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</si>
  <si>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</si>
  <si>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</si>
  <si>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</si>
  <si>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</si>
  <si>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</si>
  <si>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</si>
  <si>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</si>
  <si>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</si>
  <si>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</si>
  <si>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</si>
  <si>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</si>
  <si>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</si>
  <si>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</si>
  <si>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</si>
  <si>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</si>
  <si>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</si>
  <si>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</si>
  <si>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</si>
  <si>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</si>
  <si>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</si>
  <si>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</si>
  <si>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</si>
  <si>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</si>
  <si>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</si>
  <si>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</si>
  <si>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</si>
  <si>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</si>
  <si>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</si>
  <si>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</si>
  <si>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</si>
  <si>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</si>
  <si>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</si>
  <si>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</si>
  <si>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</si>
  <si>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</si>
  <si>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</si>
  <si>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</si>
  <si>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</si>
  <si>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</si>
  <si>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</si>
  <si>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</si>
  <si>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</si>
  <si>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</si>
  <si>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</si>
  <si>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</si>
  <si>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</si>
  <si>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</si>
  <si>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</si>
  <si>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</si>
  <si>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</si>
  <si>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</si>
  <si>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</si>
  <si>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</si>
  <si>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</si>
  <si>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</si>
  <si>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</si>
  <si>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</si>
  <si>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</si>
  <si>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</si>
  <si>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</si>
  <si>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</si>
  <si>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</si>
  <si>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</si>
  <si>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</si>
  <si>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</si>
  <si>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</si>
  <si>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</si>
  <si>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</si>
  <si>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</si>
  <si>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</si>
  <si>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</si>
  <si>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</si>
  <si>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</si>
  <si>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</si>
  <si>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</si>
  <si>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</si>
  <si>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</si>
  <si>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</si>
  <si>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</si>
  <si>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</si>
  <si>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</si>
  <si>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</si>
  <si>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</si>
  <si>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</si>
  <si>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</si>
  <si>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</si>
  <si>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</si>
  <si>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</si>
  <si>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</si>
  <si>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</si>
  <si>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</si>
  <si>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</si>
  <si>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</si>
  <si>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</si>
  <si>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</si>
  <si>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</si>
  <si>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</si>
  <si>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</si>
  <si>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</si>
  <si>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</si>
  <si>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</si>
  <si>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</si>
  <si>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</si>
  <si>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</si>
  <si>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</si>
  <si>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</si>
  <si>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</si>
  <si>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</si>
  <si>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</si>
  <si>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</si>
  <si>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</si>
  <si>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</si>
  <si>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</si>
  <si>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</si>
  <si>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</si>
  <si>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</si>
  <si>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</si>
  <si>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</si>
  <si>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</si>
  <si>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</si>
  <si>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</si>
  <si>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</si>
  <si>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</si>
  <si>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</si>
  <si>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</si>
  <si>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</si>
  <si>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</si>
  <si>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</si>
  <si>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</si>
  <si>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</si>
  <si>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</si>
  <si>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</si>
  <si>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</si>
  <si>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</si>
  <si>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</si>
  <si>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</si>
  <si>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</si>
  <si>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</si>
  <si>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</si>
  <si>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</si>
  <si>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</si>
  <si>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</si>
  <si>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</si>
  <si>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</si>
  <si>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</si>
  <si>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</si>
  <si>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</si>
  <si>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</si>
  <si>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</si>
  <si>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</si>
  <si>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</si>
  <si>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</si>
  <si>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</si>
  <si>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</si>
  <si>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</si>
  <si>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</si>
  <si>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</si>
  <si>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</si>
  <si>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</si>
  <si>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</si>
  <si>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</si>
  <si>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</si>
  <si>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</si>
  <si>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</si>
  <si>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</si>
  <si>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</si>
  <si>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</si>
  <si>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</si>
  <si>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</si>
  <si>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</si>
  <si>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</si>
  <si>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</si>
  <si>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</si>
  <si>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</si>
  <si>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</si>
  <si>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</si>
  <si>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</si>
  <si>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</si>
  <si>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</si>
  <si>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</si>
  <si>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</si>
  <si>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</si>
  <si>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</si>
  <si>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</si>
  <si>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</si>
  <si>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</si>
  <si>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</si>
  <si>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</si>
  <si>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</si>
  <si>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</si>
  <si>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</si>
  <si>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</si>
  <si>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</si>
  <si>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</si>
  <si>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</si>
  <si>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</si>
  <si>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</si>
  <si>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</si>
  <si>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</si>
  <si>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</si>
  <si>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</si>
  <si>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</si>
  <si>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</si>
  <si>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</si>
  <si>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</si>
  <si>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</si>
  <si>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</si>
  <si>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</si>
  <si>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</si>
  <si>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</si>
  <si>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</si>
  <si>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</si>
  <si>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</si>
  <si>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</si>
  <si>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</si>
  <si>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</si>
  <si>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</si>
  <si>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</si>
  <si>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</si>
  <si>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</si>
  <si>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</si>
  <si>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</si>
  <si>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</si>
  <si>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</si>
  <si>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</si>
  <si>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</si>
  <si>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</si>
  <si>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</si>
  <si>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</si>
  <si>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</si>
  <si>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</si>
  <si>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</si>
  <si>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</si>
  <si>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</si>
  <si>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</si>
  <si>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</si>
  <si>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</si>
  <si>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</si>
  <si>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</si>
  <si>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</si>
  <si>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</si>
  <si>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</si>
  <si>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</si>
  <si>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</si>
  <si>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</si>
  <si>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</si>
  <si>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</si>
  <si>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</si>
  <si>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</si>
  <si>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</si>
  <si>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</si>
  <si>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</si>
  <si>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</si>
  <si>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</si>
  <si>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</si>
  <si>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</si>
  <si>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</si>
  <si>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</si>
  <si>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</si>
  <si>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</si>
  <si>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</si>
  <si>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</si>
  <si>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</si>
  <si>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</si>
  <si>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</si>
  <si>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</si>
  <si>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</si>
  <si>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</si>
  <si>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</si>
  <si>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</si>
  <si>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</si>
  <si>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</si>
  <si>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</si>
  <si>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</si>
  <si>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</si>
  <si>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</si>
  <si>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</si>
  <si>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</si>
  <si>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</si>
  <si>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</si>
  <si>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</si>
  <si>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</si>
  <si>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</si>
  <si>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</si>
  <si>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</si>
  <si>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</si>
  <si>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</si>
  <si>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</si>
  <si>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</si>
  <si>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</si>
  <si>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</si>
  <si>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</si>
  <si>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</si>
  <si>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</si>
  <si>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</si>
  <si>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</si>
  <si>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</si>
  <si>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</si>
  <si>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</si>
  <si>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</si>
  <si>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</si>
  <si>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</si>
  <si>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</si>
  <si>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</si>
  <si>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</si>
  <si>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</si>
  <si>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</si>
  <si>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</si>
  <si>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</si>
  <si>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</si>
  <si>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</si>
  <si>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</si>
  <si>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</si>
  <si>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</si>
  <si>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</si>
  <si>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</si>
  <si>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</si>
  <si>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</si>
  <si>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</si>
  <si>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</si>
  <si>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</si>
  <si>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</si>
  <si>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</si>
  <si>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</si>
  <si>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</si>
  <si>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</si>
  <si>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</si>
  <si>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</si>
  <si>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</si>
  <si>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</si>
  <si>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</si>
  <si>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</si>
  <si>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</si>
  <si>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</si>
  <si>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</si>
  <si>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</si>
  <si>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</si>
  <si>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</si>
  <si>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</si>
  <si>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</si>
  <si>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</si>
  <si>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</si>
  <si>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</si>
  <si>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</si>
  <si>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</si>
  <si>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</si>
  <si>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</si>
  <si>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</si>
  <si>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</si>
  <si>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</si>
  <si>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</si>
  <si>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</si>
  <si>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</si>
  <si>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</si>
  <si>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</si>
  <si>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</si>
  <si>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</si>
  <si>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</si>
  <si>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</si>
  <si>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</si>
  <si>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</si>
  <si>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</si>
  <si>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</si>
  <si>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</si>
  <si>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</si>
  <si>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</si>
  <si>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</si>
  <si>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</si>
  <si>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</si>
  <si>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</si>
  <si>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</si>
  <si>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</si>
  <si>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</si>
  <si>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</si>
  <si>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</si>
  <si>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</si>
  <si>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</si>
  <si>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</si>
  <si>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</si>
  <si>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</si>
  <si>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</si>
  <si>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</si>
  <si>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</si>
  <si>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</si>
  <si>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</si>
  <si>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</si>
  <si>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</si>
  <si>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</si>
  <si>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</si>
  <si>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</si>
  <si>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</si>
  <si>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</si>
  <si>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</si>
  <si>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</si>
  <si>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</si>
  <si>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</si>
  <si>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</si>
  <si>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</si>
  <si>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</si>
  <si>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</si>
  <si>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</si>
  <si>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</si>
  <si>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</si>
  <si>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</si>
  <si>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</si>
  <si>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</si>
  <si>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</si>
  <si>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</si>
  <si>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</si>
  <si>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</si>
  <si>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</si>
  <si>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</si>
  <si>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</si>
  <si>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</si>
  <si>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</si>
  <si>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</si>
  <si>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</si>
  <si>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</si>
  <si>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</si>
  <si>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</si>
  <si>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</si>
  <si>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</si>
  <si>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</si>
  <si>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</si>
  <si>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</si>
  <si>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</si>
  <si>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</si>
  <si>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</si>
  <si>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</si>
  <si>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</si>
  <si>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</si>
  <si>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</si>
  <si>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</si>
  <si>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</si>
  <si>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</si>
  <si>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</si>
  <si>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</si>
  <si>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</si>
  <si>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</si>
  <si>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</si>
  <si>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</si>
  <si>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</si>
  <si>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</si>
  <si>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</si>
  <si>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</si>
  <si>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</si>
  <si>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</si>
  <si>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</si>
  <si>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</si>
  <si>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</si>
  <si>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</si>
  <si>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</si>
  <si>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</si>
  <si>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</si>
  <si>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</si>
  <si>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</si>
  <si>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</si>
  <si>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</si>
  <si>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</si>
  <si>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</si>
  <si>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</si>
  <si>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</si>
  <si>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</si>
  <si>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</si>
  <si>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</si>
  <si>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</si>
  <si>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</si>
  <si>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</si>
  <si>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</si>
  <si>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</si>
  <si>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</si>
  <si>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</si>
  <si>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</si>
  <si>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</si>
  <si>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</si>
  <si>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</si>
  <si>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</si>
  <si>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</si>
  <si>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</si>
  <si>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</si>
  <si>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</si>
  <si>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</si>
  <si>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</si>
  <si>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</si>
  <si>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</si>
  <si>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</si>
  <si>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</si>
  <si>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</si>
  <si>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</si>
  <si>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</si>
  <si>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</si>
  <si>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</si>
  <si>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</si>
  <si>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</si>
  <si>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</si>
  <si>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</si>
  <si>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</si>
  <si>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</si>
  <si>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</si>
  <si>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</si>
  <si>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</si>
  <si>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</si>
  <si>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</si>
  <si>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</si>
  <si>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</si>
  <si>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</si>
  <si>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</si>
  <si>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</si>
  <si>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</si>
  <si>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</si>
  <si>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</si>
  <si>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</si>
  <si>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</si>
  <si>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</si>
  <si>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</si>
  <si>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</si>
  <si>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</si>
  <si>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</si>
  <si>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</si>
  <si>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</si>
  <si>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</si>
  <si>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</si>
  <si>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</si>
  <si>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</si>
  <si>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</si>
  <si>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</si>
  <si>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</si>
  <si>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</si>
  <si>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</si>
  <si>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</si>
  <si>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</si>
  <si>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</si>
  <si>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</si>
  <si>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</si>
  <si>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</si>
  <si>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</si>
  <si>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</si>
  <si>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</si>
  <si>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</si>
  <si>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</si>
  <si>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</si>
  <si>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</si>
  <si>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</si>
  <si>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</si>
  <si>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</si>
  <si>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</si>
  <si>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</si>
  <si>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</si>
  <si>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</si>
  <si>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</si>
  <si>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</si>
  <si>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</si>
  <si>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</si>
  <si>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</si>
  <si>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</si>
  <si>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</si>
  <si>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</si>
  <si>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</si>
  <si>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</si>
  <si>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</si>
  <si>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</si>
  <si>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</si>
  <si>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</si>
  <si>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</si>
  <si>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</si>
  <si>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</si>
  <si>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</si>
  <si>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</si>
  <si>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</si>
  <si>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</si>
  <si>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</si>
  <si>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</si>
  <si>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</si>
  <si>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</si>
  <si>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</si>
  <si>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</si>
  <si>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</si>
  <si>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</si>
  <si>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</si>
  <si>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</si>
  <si>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</si>
  <si>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</si>
  <si>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</si>
  <si>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</si>
  <si>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</si>
  <si>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</si>
  <si>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</si>
  <si>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</si>
  <si>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</si>
  <si>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</si>
  <si>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</si>
  <si>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</si>
  <si>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</si>
  <si>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</si>
  <si>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</si>
  <si>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</si>
  <si>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</si>
  <si>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</si>
  <si>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</si>
  <si>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</si>
  <si>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</si>
  <si>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</si>
  <si>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</si>
  <si>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</si>
  <si>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</si>
  <si>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</si>
  <si>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</si>
  <si>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</si>
  <si>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</si>
  <si>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</si>
  <si>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</si>
  <si>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</si>
  <si>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</si>
  <si>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</si>
  <si>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</si>
  <si>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</si>
  <si>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</si>
  <si>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</si>
  <si>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</si>
  <si>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</si>
  <si>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</si>
  <si>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</si>
  <si>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</si>
  <si>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</si>
  <si>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</si>
  <si>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</si>
  <si>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</si>
  <si>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</si>
  <si>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</si>
  <si>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</si>
  <si>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</si>
  <si>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</si>
  <si>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</si>
  <si>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</si>
  <si>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</si>
  <si>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</si>
  <si>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</si>
  <si>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</si>
  <si>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</si>
  <si>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</si>
  <si>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</si>
  <si>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</si>
  <si>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</si>
  <si>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</si>
  <si>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</si>
  <si>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</si>
  <si>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</si>
  <si>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</si>
  <si>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</si>
  <si>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</si>
  <si>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</si>
  <si>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</si>
  <si>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</si>
  <si>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</si>
  <si>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</si>
  <si>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</si>
  <si>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</si>
  <si>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</si>
  <si>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</si>
  <si>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</si>
  <si>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</si>
  <si>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</si>
  <si>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</si>
  <si>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</si>
  <si>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</si>
  <si>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</si>
  <si>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</si>
  <si>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</si>
  <si>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</si>
  <si>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</si>
  <si>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</si>
  <si>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</si>
  <si>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</si>
  <si>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</si>
  <si>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</si>
  <si>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</si>
  <si>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</si>
  <si>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</si>
  <si>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</si>
  <si>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</si>
  <si>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</si>
  <si>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</si>
  <si>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</si>
  <si>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</si>
  <si>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</si>
  <si>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</si>
  <si>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</si>
  <si>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</si>
  <si>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</si>
  <si>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</si>
  <si>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</si>
  <si>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</si>
  <si>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</si>
  <si>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</si>
  <si>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</si>
  <si>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</si>
  <si>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</si>
  <si>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</si>
  <si>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</si>
  <si>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</si>
  <si>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</si>
  <si>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</si>
  <si>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</si>
  <si>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</si>
  <si>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</si>
  <si>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</si>
  <si>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</si>
  <si>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</si>
  <si>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</si>
  <si>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</si>
  <si>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</si>
  <si>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</si>
  <si>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</si>
  <si>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</si>
  <si>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</si>
  <si>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</si>
  <si>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</si>
  <si>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</si>
  <si>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</si>
  <si>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</si>
  <si>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</si>
  <si>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</si>
  <si>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</si>
  <si>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</si>
  <si>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</si>
  <si>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</si>
  <si>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</si>
  <si>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</si>
  <si>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</si>
  <si>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</si>
  <si>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</si>
  <si>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</si>
  <si>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</si>
  <si>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</si>
  <si>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</si>
  <si>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</si>
  <si>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</si>
  <si>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</si>
  <si>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</si>
  <si>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</si>
  <si>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</si>
  <si>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</si>
  <si>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</si>
  <si>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</si>
  <si>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</si>
  <si>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</si>
  <si>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</si>
  <si>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</si>
  <si>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</si>
  <si>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</si>
  <si>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</si>
  <si>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</si>
  <si>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</si>
  <si>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</si>
  <si>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</si>
  <si>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</si>
  <si>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</si>
  <si>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</si>
  <si>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</si>
  <si>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</si>
  <si>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</si>
  <si>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</si>
  <si>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</si>
  <si>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</si>
  <si>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</si>
  <si>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</si>
  <si>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</si>
  <si>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</si>
  <si>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</si>
  <si>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</si>
  <si>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</si>
  <si>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</si>
  <si>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</si>
  <si>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</si>
  <si>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</si>
  <si>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</si>
  <si>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</si>
  <si>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</si>
  <si>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</si>
  <si>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</si>
  <si>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</si>
  <si>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</si>
  <si>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</si>
  <si>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</si>
  <si>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</si>
  <si>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</si>
  <si>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</si>
  <si>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</si>
  <si>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</si>
  <si>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</si>
  <si>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</si>
  <si>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</si>
  <si>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</si>
  <si>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</si>
  <si>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</si>
  <si>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</si>
  <si>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</si>
  <si>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</si>
  <si>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</si>
  <si>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</si>
  <si>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</si>
  <si>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</si>
  <si>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</si>
  <si>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</si>
  <si>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</si>
  <si>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</si>
  <si>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</si>
  <si>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</si>
  <si>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</si>
  <si>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</si>
  <si>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</si>
  <si>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</si>
  <si>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</si>
  <si>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</si>
  <si>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</si>
  <si>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</si>
  <si>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</si>
  <si>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</si>
  <si>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</si>
  <si>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</si>
  <si>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</si>
  <si>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</si>
  <si>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</si>
  <si>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</si>
  <si>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</si>
  <si>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</si>
  <si>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</si>
  <si>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</si>
  <si>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</si>
  <si>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</si>
  <si>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</si>
  <si>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</si>
  <si>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</si>
  <si>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</si>
  <si>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</si>
  <si>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</si>
  <si>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</si>
  <si>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</si>
  <si>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</si>
  <si>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</si>
  <si>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</si>
  <si>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</si>
  <si>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</si>
  <si>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</si>
  <si>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</si>
  <si>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</si>
  <si>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</si>
  <si>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</si>
  <si>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</si>
  <si>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</si>
  <si>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</si>
  <si>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</si>
  <si>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</si>
  <si>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</si>
  <si>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</si>
  <si>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</si>
  <si>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</si>
  <si>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</si>
  <si>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</si>
  <si>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</si>
  <si>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</si>
  <si>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</si>
  <si>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</si>
  <si>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</si>
  <si>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</si>
  <si>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</si>
  <si>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</si>
  <si>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</si>
  <si>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</si>
  <si>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</si>
  <si>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</si>
  <si>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</si>
  <si>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</si>
  <si>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</si>
  <si>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</si>
  <si>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</si>
  <si>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</si>
  <si>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</si>
  <si>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</si>
  <si>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</si>
  <si>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</si>
  <si>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</si>
  <si>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</si>
  <si>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</si>
  <si>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</si>
  <si>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</si>
  <si>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</si>
  <si>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</si>
  <si>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</si>
  <si>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</si>
  <si>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</si>
  <si>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</si>
  <si>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</si>
  <si>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</si>
  <si>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</si>
  <si>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</si>
  <si>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</si>
  <si>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</si>
  <si>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</si>
  <si>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</si>
  <si>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</si>
  <si>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</si>
  <si>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</si>
  <si>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</si>
  <si>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</si>
  <si>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</si>
  <si>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</si>
  <si>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</si>
  <si>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</si>
  <si>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</si>
  <si>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</si>
  <si>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</si>
  <si>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</si>
  <si>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</si>
  <si>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</si>
  <si>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</si>
  <si>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</si>
  <si>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</si>
  <si>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</si>
  <si>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</si>
  <si>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</si>
  <si>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</si>
  <si>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</si>
  <si>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</si>
  <si>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</si>
  <si>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</si>
  <si>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</si>
  <si>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</si>
  <si>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</si>
  <si>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</si>
  <si>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</si>
  <si>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</si>
  <si>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</si>
  <si>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</si>
  <si>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</si>
  <si>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</si>
  <si>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</si>
  <si>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</si>
  <si>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</si>
  <si>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</si>
  <si>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</si>
  <si>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</si>
  <si>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</si>
  <si>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</si>
  <si>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</si>
  <si>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</si>
  <si>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</si>
  <si>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</si>
  <si>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</si>
  <si>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</si>
  <si>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</si>
  <si>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</si>
  <si>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</si>
  <si>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</si>
  <si>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</si>
  <si>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</si>
  <si>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</si>
  <si>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</si>
  <si>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</si>
  <si>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</si>
  <si>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</si>
  <si>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</si>
  <si>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</si>
  <si>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</si>
  <si>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</si>
  <si>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</si>
  <si>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</si>
  <si>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</si>
  <si>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</si>
  <si>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</si>
  <si>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</si>
  <si>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</si>
  <si>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</si>
  <si>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</si>
  <si>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</si>
  <si>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</si>
  <si>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</si>
  <si>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</si>
  <si>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</si>
  <si>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</si>
  <si>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</si>
  <si>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</si>
  <si>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</si>
  <si>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</si>
  <si>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</si>
  <si>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</si>
  <si>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</si>
  <si>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</si>
  <si>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</si>
  <si>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</si>
  <si>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</si>
  <si>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</si>
  <si>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</si>
  <si>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</si>
  <si>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</si>
  <si>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</si>
  <si>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</si>
  <si>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</si>
  <si>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</si>
  <si>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</si>
  <si>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</si>
  <si>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</si>
  <si>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</si>
  <si>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</si>
  <si>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</si>
  <si>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</si>
  <si>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</si>
  <si>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</si>
  <si>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</si>
  <si>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</si>
  <si>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</si>
  <si>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</si>
  <si>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</si>
  <si>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</si>
  <si>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</si>
  <si>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</si>
  <si>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</si>
  <si>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</si>
  <si>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</si>
  <si>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</si>
  <si>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</si>
  <si>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</si>
  <si>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</si>
  <si>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</si>
  <si>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</si>
  <si>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</si>
  <si>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</si>
  <si>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</si>
  <si>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</si>
  <si>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</si>
  <si>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</si>
  <si>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</si>
  <si>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</si>
  <si>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</si>
  <si>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</si>
  <si>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</si>
  <si>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</si>
  <si>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</si>
  <si>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</si>
  <si>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</si>
  <si>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</si>
  <si>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</si>
  <si>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</si>
  <si>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</si>
  <si>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</si>
  <si>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</si>
  <si>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</si>
  <si>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</si>
  <si>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</si>
  <si>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</si>
  <si>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</si>
  <si>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</si>
  <si>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</si>
  <si>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</si>
  <si>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</si>
  <si>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</si>
  <si>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</si>
  <si>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</si>
  <si>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</si>
  <si>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</si>
  <si>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</si>
  <si>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</si>
  <si>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</si>
  <si>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</si>
  <si>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</si>
  <si>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</si>
  <si>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</si>
  <si>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</si>
  <si>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</si>
  <si>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</si>
  <si>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</si>
  <si>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</si>
  <si>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</si>
  <si>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</si>
  <si>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</si>
  <si>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</si>
  <si>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</si>
  <si>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</si>
  <si>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</si>
  <si>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</si>
  <si>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</si>
  <si>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</si>
  <si>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</si>
  <si>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</si>
  <si>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</si>
  <si>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</si>
  <si>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</si>
  <si>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</si>
  <si>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</si>
  <si>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</si>
  <si>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</si>
  <si>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</si>
  <si>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</si>
  <si>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</si>
  <si>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</si>
  <si>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</si>
  <si>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</si>
  <si>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</si>
  <si>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</si>
  <si>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</si>
  <si>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</si>
  <si>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</si>
  <si>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</si>
  <si>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</si>
  <si>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</si>
  <si>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</si>
  <si>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</si>
  <si>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</si>
  <si>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</si>
  <si>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</si>
  <si>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</si>
  <si>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</si>
  <si>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</si>
  <si>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</si>
  <si>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</si>
  <si>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</si>
  <si>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</si>
  <si>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</si>
  <si>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</si>
  <si>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</si>
  <si>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</si>
  <si>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</si>
  <si>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</si>
  <si>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</si>
  <si>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</si>
  <si>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</si>
  <si>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</si>
  <si>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</si>
  <si>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</si>
  <si>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</si>
  <si>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</si>
  <si>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</si>
  <si>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</si>
  <si>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</si>
  <si>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</si>
  <si>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</si>
  <si>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</si>
  <si>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</si>
  <si>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</si>
  <si>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</si>
  <si>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</si>
  <si>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</si>
  <si>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</si>
  <si>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</si>
  <si>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</si>
  <si>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</si>
  <si>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</si>
  <si>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</si>
  <si>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</si>
  <si>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</si>
  <si>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</si>
  <si>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</si>
  <si>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</si>
  <si>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</si>
  <si>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</si>
  <si>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</si>
  <si>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</si>
  <si>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</si>
  <si>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</si>
  <si>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</si>
  <si>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</si>
  <si>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</si>
  <si>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</si>
  <si>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</si>
  <si>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</si>
  <si>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</si>
  <si>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</si>
  <si>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</si>
  <si>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</si>
  <si>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</si>
  <si>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</si>
  <si>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</si>
  <si>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</si>
  <si>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</si>
  <si>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</si>
  <si>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</si>
  <si>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</si>
  <si>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</si>
  <si>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</si>
  <si>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</si>
  <si>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</si>
  <si>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</si>
  <si>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</si>
  <si>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</si>
  <si>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</si>
  <si>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</si>
  <si>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</si>
  <si>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</si>
  <si>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</si>
  <si>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</si>
  <si>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</si>
  <si>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</si>
  <si>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</si>
  <si>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</si>
  <si>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</si>
  <si>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</si>
  <si>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</si>
  <si>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</si>
  <si>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</si>
  <si>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</si>
  <si>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</si>
  <si>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</si>
  <si>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</si>
  <si>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</si>
  <si>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</si>
  <si>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</si>
  <si>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</si>
  <si>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</si>
  <si>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</si>
  <si>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</si>
  <si>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</si>
  <si>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</si>
  <si>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</si>
  <si>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</si>
  <si>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</si>
  <si>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</si>
  <si>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</si>
  <si>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</si>
  <si>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</si>
  <si>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</si>
  <si>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</si>
  <si>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</si>
  <si>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</si>
  <si>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</si>
  <si>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</si>
  <si>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</si>
  <si>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</si>
  <si>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</si>
  <si>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</si>
  <si>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</si>
  <si>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</si>
  <si>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</si>
  <si>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</si>
  <si>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</si>
  <si>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</si>
  <si>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</si>
  <si>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</si>
  <si>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</si>
  <si>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</si>
  <si>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</si>
  <si>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</si>
  <si>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</si>
  <si>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</si>
  <si>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</si>
  <si>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</si>
  <si>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</si>
  <si>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</si>
  <si>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</si>
  <si>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</si>
  <si>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</si>
  <si>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</si>
  <si>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</si>
  <si>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</si>
  <si>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</si>
  <si>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</si>
  <si>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</si>
  <si>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</si>
  <si>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</si>
  <si>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</si>
  <si>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</si>
  <si>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</si>
  <si>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</si>
  <si>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</si>
  <si>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</si>
  <si>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</si>
  <si>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</si>
  <si>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</si>
  <si>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</si>
  <si>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</si>
  <si>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</si>
  <si>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</si>
  <si>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</si>
  <si>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</si>
  <si>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</si>
  <si>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</si>
  <si>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</si>
  <si>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</si>
  <si>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</si>
  <si>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</si>
  <si>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</si>
  <si>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</si>
  <si>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</si>
  <si>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</si>
  <si>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</si>
  <si>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</si>
  <si>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</si>
  <si>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</si>
  <si>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</si>
  <si>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</si>
  <si>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</si>
  <si>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</si>
  <si>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</si>
  <si>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</si>
  <si>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</si>
  <si>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</si>
  <si>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</si>
  <si>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</si>
  <si>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</si>
  <si>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</si>
  <si>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</si>
  <si>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</si>
  <si>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</si>
  <si>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</si>
  <si>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</si>
  <si>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</si>
  <si>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</si>
  <si>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</si>
  <si>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</si>
  <si>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</si>
  <si>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</si>
  <si>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</si>
  <si>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</si>
  <si>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</si>
  <si>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</si>
  <si>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</si>
  <si>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</si>
  <si>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</si>
  <si>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</si>
  <si>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</si>
  <si>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</si>
  <si>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</si>
  <si>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</si>
  <si>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</si>
  <si>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</si>
  <si>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</si>
  <si>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</si>
  <si>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</si>
  <si>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</si>
  <si>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</si>
  <si>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</si>
  <si>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</si>
  <si>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</si>
  <si>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</si>
  <si>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</si>
  <si>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</si>
  <si>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</si>
  <si>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</si>
  <si>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</si>
  <si>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</si>
  <si>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</si>
  <si>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</si>
  <si>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</si>
  <si>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</si>
  <si>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</si>
  <si>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</si>
  <si>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</si>
  <si>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</si>
  <si>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</si>
  <si>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</si>
  <si>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</si>
  <si>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</si>
  <si>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</si>
  <si>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</si>
  <si>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</si>
  <si>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</si>
  <si>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</si>
  <si>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</si>
  <si>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</si>
  <si>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</si>
  <si>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</si>
  <si>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</si>
  <si>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</si>
  <si>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</si>
  <si>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</si>
  <si>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</si>
  <si>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</si>
  <si>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</si>
  <si>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</si>
  <si>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</si>
  <si>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</si>
  <si>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</si>
  <si>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</si>
  <si>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</si>
  <si>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</si>
  <si>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</si>
  <si>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</si>
  <si>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</si>
  <si>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</si>
  <si>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</si>
  <si>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</si>
  <si>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</si>
  <si>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</si>
  <si>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</si>
  <si>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</si>
  <si>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</si>
  <si>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</si>
  <si>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</si>
  <si>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</si>
  <si>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</si>
  <si>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</si>
  <si>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</si>
  <si>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</si>
  <si>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</si>
  <si>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</si>
  <si>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</si>
  <si>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</si>
  <si>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</si>
  <si>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</si>
  <si>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</si>
  <si>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</si>
  <si>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</si>
  <si>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</si>
  <si>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</si>
  <si>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</si>
  <si>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</si>
  <si>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</si>
  <si>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</si>
  <si>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</si>
  <si>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</si>
  <si>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</si>
  <si>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</si>
  <si>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</si>
  <si>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</si>
  <si>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</si>
  <si>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</si>
  <si>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</si>
  <si>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</si>
  <si>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</si>
  <si>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</si>
  <si>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</si>
  <si>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</si>
  <si>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</si>
  <si>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</si>
  <si>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</si>
  <si>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</si>
  <si>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</si>
  <si>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</si>
  <si>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</si>
  <si>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</si>
  <si>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</si>
  <si>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</si>
  <si>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</si>
  <si>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</si>
  <si>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</si>
  <si>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</si>
  <si>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</si>
  <si>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</si>
  <si>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</si>
  <si>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</si>
  <si>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</si>
  <si>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</si>
  <si>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</si>
  <si>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</si>
  <si>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</si>
  <si>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</si>
  <si>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</si>
  <si>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</si>
  <si>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</si>
  <si>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</si>
  <si>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</si>
  <si>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</si>
  <si>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</si>
  <si>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</si>
  <si>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</si>
  <si>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</si>
  <si>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</si>
  <si>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</si>
  <si>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</si>
  <si>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</si>
  <si>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</si>
  <si>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</si>
  <si>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</si>
  <si>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</si>
  <si>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</si>
  <si>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</si>
  <si>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</si>
  <si>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</si>
  <si>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</si>
  <si>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</si>
  <si>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</si>
  <si>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</si>
  <si>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</si>
  <si>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</si>
  <si>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</si>
  <si>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</si>
  <si>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</si>
  <si>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</si>
  <si>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</si>
  <si>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</si>
  <si>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</si>
  <si>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</si>
  <si>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</si>
  <si>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</si>
  <si>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</si>
  <si>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</si>
  <si>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</si>
  <si>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</si>
  <si>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</si>
  <si>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</si>
  <si>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</si>
  <si>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</si>
  <si>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</si>
  <si>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</si>
  <si>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</si>
  <si>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</si>
  <si>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</si>
  <si>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</si>
  <si>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</si>
  <si>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</si>
  <si>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</si>
  <si>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</si>
  <si>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</si>
  <si>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</si>
  <si>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</si>
  <si>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</si>
  <si>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</si>
  <si>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</si>
  <si>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</si>
  <si>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</si>
  <si>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</si>
  <si>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</si>
  <si>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</si>
  <si>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</si>
  <si>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</si>
  <si>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</si>
  <si>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</si>
  <si>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</si>
  <si>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</si>
  <si>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</si>
  <si>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</si>
  <si>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</si>
  <si>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</si>
  <si>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</si>
  <si>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</si>
  <si>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</si>
  <si>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</si>
  <si>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</si>
  <si>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</si>
  <si>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</si>
  <si>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</si>
  <si>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</si>
  <si>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</si>
  <si>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</si>
  <si>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</si>
  <si>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</si>
  <si>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</si>
  <si>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</si>
  <si>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</si>
  <si>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</si>
  <si>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</si>
  <si>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</si>
  <si>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</si>
  <si>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</si>
  <si>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</si>
  <si>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</si>
  <si>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</si>
  <si>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</si>
  <si>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</si>
  <si>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</si>
  <si>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</si>
  <si>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</si>
  <si>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</si>
  <si>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</si>
  <si>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</si>
  <si>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</si>
  <si>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</si>
  <si>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</si>
  <si>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</si>
  <si>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</si>
  <si>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</si>
  <si>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</si>
  <si>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</si>
  <si>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</si>
  <si>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</si>
  <si>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</si>
  <si>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</si>
  <si>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</si>
  <si>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</si>
  <si>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</si>
  <si>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</si>
  <si>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</si>
  <si>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</si>
  <si>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</si>
  <si>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</si>
  <si>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</si>
  <si>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</si>
  <si>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</si>
  <si>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</si>
  <si>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</si>
  <si>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</si>
  <si>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</si>
  <si>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</si>
  <si>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</si>
  <si>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</si>
  <si>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</si>
  <si>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</si>
  <si>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</si>
  <si>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</si>
  <si>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</si>
  <si>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</si>
  <si>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</si>
  <si>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</si>
  <si>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</si>
  <si>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</si>
  <si>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</si>
  <si>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</si>
  <si>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</si>
  <si>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</si>
  <si>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</si>
  <si>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</si>
  <si>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</si>
  <si>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</si>
  <si>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</si>
  <si>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</si>
  <si>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</si>
  <si>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</si>
  <si>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</si>
  <si>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</si>
  <si>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</si>
  <si>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</si>
  <si>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</si>
  <si>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</si>
  <si>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</si>
  <si>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</si>
  <si>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</si>
  <si>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</si>
  <si>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</si>
  <si>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</si>
  <si>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</si>
  <si>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</si>
  <si>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</si>
  <si>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</si>
  <si>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</si>
  <si>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</si>
  <si>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</si>
  <si>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</si>
  <si>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</si>
  <si>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</si>
  <si>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</si>
  <si>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</si>
  <si>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</si>
  <si>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</si>
  <si>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</si>
  <si>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</si>
  <si>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</si>
  <si>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</si>
  <si>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</si>
  <si>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</si>
  <si>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</si>
  <si>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</si>
  <si>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</si>
  <si>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</si>
  <si>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</si>
  <si>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</si>
  <si>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</si>
  <si>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</si>
  <si>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</si>
  <si>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</si>
  <si>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</si>
  <si>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</si>
  <si>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</si>
  <si>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</si>
  <si>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</si>
  <si>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</si>
  <si>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</si>
  <si>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</si>
  <si>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</si>
  <si>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</si>
  <si>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</si>
  <si>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</si>
  <si>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</si>
  <si>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</si>
  <si>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</si>
  <si>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</si>
  <si>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</si>
  <si>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</si>
  <si>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</si>
  <si>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</si>
  <si>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</si>
  <si>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</si>
  <si>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</si>
  <si>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</si>
  <si>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</si>
  <si>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</si>
  <si>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</si>
  <si>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</si>
  <si>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</si>
  <si>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</si>
  <si>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</si>
  <si>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</si>
  <si>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</si>
  <si>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</si>
  <si>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</si>
  <si>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</si>
  <si>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</si>
  <si>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</si>
  <si>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</si>
  <si>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</si>
  <si>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</si>
  <si>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</si>
  <si>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</si>
  <si>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</si>
  <si>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</si>
  <si>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</si>
  <si>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</si>
  <si>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</si>
  <si>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</si>
  <si>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</si>
  <si>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</si>
  <si>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</si>
  <si>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</si>
  <si>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</si>
  <si>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</si>
  <si>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</si>
  <si>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</si>
  <si>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</si>
  <si>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</si>
  <si>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</si>
  <si>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</si>
  <si>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</si>
  <si>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</si>
  <si>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</si>
  <si>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</si>
  <si>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</si>
  <si>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</si>
  <si>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</si>
  <si>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</si>
  <si>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</si>
  <si>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</si>
  <si>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</si>
  <si>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</si>
  <si>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</si>
  <si>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</si>
  <si>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</si>
  <si>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</si>
  <si>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</si>
  <si>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</si>
  <si>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</si>
  <si>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</si>
  <si>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</si>
  <si>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</si>
  <si>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</si>
  <si>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</si>
  <si>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</si>
  <si>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</si>
  <si>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</si>
  <si>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</si>
  <si>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</si>
  <si>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</si>
  <si>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</si>
  <si>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</si>
  <si>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</si>
  <si>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</si>
  <si>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</si>
  <si>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</si>
  <si>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</si>
  <si>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</si>
  <si>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</si>
  <si>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</si>
  <si>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</si>
  <si>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</si>
  <si>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</si>
  <si>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</si>
  <si>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</si>
  <si>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</si>
  <si>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</si>
  <si>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</si>
  <si>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</si>
  <si>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</si>
  <si>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</si>
  <si>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</si>
  <si>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</si>
  <si>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</si>
  <si>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</si>
  <si>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</si>
  <si>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</si>
  <si>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</si>
  <si>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</si>
  <si>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</si>
  <si>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</si>
  <si>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</si>
  <si>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</si>
  <si>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</si>
  <si>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</si>
  <si>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</si>
  <si>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</si>
  <si>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</si>
  <si>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</si>
  <si>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</si>
  <si>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</si>
  <si>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</si>
  <si>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</si>
  <si>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</si>
  <si>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</si>
  <si>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</si>
  <si>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</si>
  <si>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</si>
  <si>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</si>
  <si>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</si>
  <si>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</si>
  <si>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</si>
  <si>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</si>
  <si>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</si>
  <si>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</si>
  <si>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</si>
  <si>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</si>
  <si>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</si>
  <si>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</si>
  <si>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</si>
  <si>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</si>
  <si>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BOCAL</t>
  </si>
  <si>
    <t>PRELEVEMENT</t>
  </si>
  <si>
    <t>STATION</t>
  </si>
  <si>
    <t>Spermaphytes immergés</t>
  </si>
  <si>
    <t>Algues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</si>
  <si>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</si>
  <si>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</si>
  <si>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</si>
  <si>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</si>
  <si>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</si>
  <si>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</si>
  <si>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</si>
  <si>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</si>
  <si>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</si>
  <si>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</si>
  <si>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</si>
  <si>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</si>
  <si>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</si>
  <si>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</si>
  <si>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</si>
  <si>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</si>
  <si>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</si>
  <si>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</si>
  <si>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</si>
  <si>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</si>
  <si>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</si>
  <si>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</si>
  <si>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</si>
  <si>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</si>
  <si>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</si>
  <si>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</si>
  <si>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</si>
  <si>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</si>
  <si>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</si>
  <si>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</si>
  <si>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</si>
  <si>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</si>
  <si>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</si>
  <si>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</si>
  <si>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</si>
  <si>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</si>
  <si>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</si>
  <si>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</si>
  <si>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</si>
  <si>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</si>
  <si>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</si>
  <si>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</si>
  <si>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</si>
  <si>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</si>
  <si>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</si>
  <si>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</si>
  <si>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</si>
  <si>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</si>
  <si>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</si>
  <si>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</si>
  <si>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</si>
  <si>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</si>
  <si>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</si>
  <si>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</si>
  <si>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</si>
  <si>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</si>
  <si>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</si>
  <si>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</si>
  <si>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</si>
  <si>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</si>
  <si>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</si>
  <si>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</si>
  <si>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</si>
  <si>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</si>
  <si>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</si>
  <si>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</si>
  <si>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</si>
  <si>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</si>
  <si>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</si>
  <si>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</si>
  <si>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</si>
  <si>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</si>
  <si>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</si>
  <si>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</si>
  <si>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</si>
  <si>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</si>
  <si>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</si>
  <si>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</si>
  <si>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</si>
  <si>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</si>
  <si>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</si>
  <si>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</si>
  <si>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</si>
  <si>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</si>
  <si>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</si>
  <si>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</si>
  <si>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</si>
  <si>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</si>
  <si>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</si>
  <si>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</si>
  <si>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</si>
  <si>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</si>
  <si>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</si>
  <si>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</si>
  <si>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</si>
  <si>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</si>
  <si>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</si>
  <si>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</si>
  <si>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</si>
  <si>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</si>
  <si>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</si>
  <si>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</si>
  <si>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</si>
  <si>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</si>
  <si>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</si>
  <si>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</si>
  <si>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</si>
  <si>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</si>
  <si>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</si>
  <si>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</si>
  <si>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</si>
  <si>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</si>
  <si>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</si>
  <si>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</si>
  <si>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</si>
  <si>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</si>
  <si>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</si>
  <si>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</si>
  <si>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</si>
  <si>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</si>
  <si>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</si>
  <si>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</si>
  <si>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</si>
  <si>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</si>
  <si>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</si>
  <si>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</si>
  <si>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</si>
  <si>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</si>
  <si>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</si>
  <si>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</si>
  <si>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</si>
  <si>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</si>
  <si>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</si>
  <si>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</si>
  <si>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</si>
  <si>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</si>
  <si>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</si>
  <si>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</si>
  <si>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</si>
  <si>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</si>
  <si>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</si>
  <si>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</si>
  <si>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</si>
  <si>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</si>
  <si>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</si>
  <si>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</si>
  <si>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</si>
  <si>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</si>
  <si>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</si>
  <si>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</si>
  <si>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</si>
  <si>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</si>
  <si>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</si>
  <si>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</si>
  <si>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</si>
  <si>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</si>
  <si>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</si>
  <si>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</si>
  <si>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</si>
  <si>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</si>
  <si>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</si>
  <si>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</si>
  <si>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</si>
  <si>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</si>
  <si>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</si>
  <si>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</si>
  <si>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</si>
  <si>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</si>
  <si>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</si>
  <si>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</si>
  <si>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</si>
  <si>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</si>
  <si>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</si>
  <si>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</si>
  <si>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</si>
  <si>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</si>
  <si>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</si>
  <si>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</si>
  <si>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</si>
  <si>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</si>
  <si>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</si>
  <si>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</si>
  <si>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</si>
  <si>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</si>
  <si>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</si>
  <si>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</si>
  <si>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</si>
  <si>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</si>
  <si>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</si>
  <si>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</si>
  <si>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</si>
  <si>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</si>
  <si>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</si>
  <si>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</si>
  <si>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</si>
  <si>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</si>
  <si>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</si>
  <si>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</si>
  <si>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</si>
  <si>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</si>
  <si>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</si>
  <si>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</si>
  <si>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</si>
  <si>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</si>
  <si>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</si>
  <si>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</si>
  <si>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</si>
  <si>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</si>
  <si>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</si>
  <si>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</si>
  <si>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</si>
  <si>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</si>
  <si>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</si>
  <si>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</si>
  <si>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</si>
  <si>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</si>
  <si>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</si>
  <si>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</si>
  <si>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</si>
  <si>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</si>
  <si>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</si>
  <si>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</si>
  <si>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</si>
  <si>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</si>
  <si>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</si>
  <si>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</si>
  <si>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</si>
  <si>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</si>
  <si>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</si>
  <si>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</si>
  <si>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</si>
  <si>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</si>
  <si>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</si>
  <si>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</si>
  <si>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</si>
  <si>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</si>
  <si>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</si>
  <si>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</si>
  <si>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</si>
  <si>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</si>
  <si>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</si>
  <si>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</si>
  <si>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</si>
  <si>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</si>
  <si>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</si>
  <si>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</si>
  <si>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</si>
  <si>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</si>
  <si>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</si>
  <si>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</si>
  <si>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</si>
  <si>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</si>
  <si>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</si>
  <si>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</si>
  <si>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</si>
  <si>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</si>
  <si>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</si>
  <si>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</si>
  <si>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</si>
  <si>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</si>
  <si>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</si>
  <si>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</si>
  <si>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</si>
  <si>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</si>
  <si>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</si>
  <si>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</si>
  <si>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</si>
  <si>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</si>
  <si>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</si>
  <si>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</si>
  <si>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</si>
  <si>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</si>
  <si>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</si>
  <si>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</si>
  <si>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</si>
  <si>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</si>
  <si>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</si>
  <si>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</si>
  <si>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</si>
  <si>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</si>
  <si>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</si>
  <si>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</si>
  <si>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</si>
  <si>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</si>
  <si>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</si>
  <si>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</si>
  <si>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</si>
  <si>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</si>
  <si>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</si>
  <si>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</si>
  <si>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</si>
  <si>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</si>
  <si>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</si>
  <si>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</si>
  <si>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</si>
  <si>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</si>
  <si>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</si>
  <si>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</si>
  <si>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</si>
  <si>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</si>
  <si>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</si>
  <si>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</si>
  <si>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</si>
  <si>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</si>
  <si>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</si>
  <si>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</si>
  <si>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</si>
  <si>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</si>
  <si>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</si>
  <si>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</si>
  <si>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</si>
  <si>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</si>
  <si>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</si>
  <si>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</si>
  <si>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</si>
  <si>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</si>
  <si>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</si>
  <si>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</si>
  <si>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</si>
  <si>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</si>
  <si>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</si>
  <si>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</si>
  <si>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</si>
  <si>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</si>
  <si>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</si>
  <si>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</si>
  <si>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</si>
  <si>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</si>
  <si>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</si>
  <si>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</si>
  <si>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</si>
  <si>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</si>
  <si>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</si>
  <si>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</si>
  <si>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</si>
  <si>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</si>
  <si>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</si>
  <si>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</si>
  <si>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</si>
  <si>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</si>
  <si>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</si>
  <si>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</si>
  <si>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</si>
  <si>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</si>
  <si>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</si>
  <si>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</si>
  <si>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</si>
  <si>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</si>
  <si>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</si>
  <si>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</si>
  <si>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</si>
  <si>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</si>
  <si>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</si>
  <si>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</si>
  <si>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</si>
  <si>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</si>
  <si>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</si>
  <si>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</si>
  <si>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</si>
  <si>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</si>
  <si>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</si>
  <si>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</si>
  <si>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</si>
  <si>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</si>
  <si>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</si>
  <si>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</si>
  <si>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</si>
  <si>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</si>
  <si>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</si>
  <si>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</si>
  <si>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</si>
  <si>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</si>
  <si>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</si>
  <si>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</si>
  <si>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</si>
  <si>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</si>
  <si>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</si>
  <si>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</si>
  <si>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</si>
  <si>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</si>
  <si>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</si>
  <si>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</si>
  <si>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</si>
  <si>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</si>
  <si>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</si>
  <si>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</si>
  <si>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</si>
  <si>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</si>
  <si>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</si>
  <si>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</si>
  <si>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</si>
  <si>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</si>
  <si>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</si>
  <si>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</si>
  <si>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</si>
  <si>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</si>
  <si>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</si>
  <si>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</si>
  <si>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</si>
  <si>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</si>
  <si>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</si>
  <si>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</si>
  <si>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</si>
  <si>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</si>
  <si>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</si>
  <si>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</si>
  <si>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</si>
  <si>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</si>
  <si>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</si>
  <si>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</si>
  <si>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</si>
  <si>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</si>
  <si>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</si>
  <si>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</si>
  <si>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</si>
  <si>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</si>
  <si>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</si>
  <si>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</si>
  <si>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</si>
  <si>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</si>
  <si>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</si>
  <si>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</si>
  <si>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</si>
  <si>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</si>
  <si>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</si>
  <si>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</si>
  <si>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</si>
  <si>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</si>
  <si>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</si>
  <si>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</si>
  <si>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</si>
  <si>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</si>
  <si>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</si>
  <si>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</si>
  <si>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</si>
  <si>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</si>
  <si>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</si>
  <si>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</si>
  <si>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</si>
  <si>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</si>
  <si>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</si>
  <si>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</si>
  <si>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</si>
  <si>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</si>
  <si>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</si>
  <si>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</si>
  <si>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</si>
  <si>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</si>
  <si>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</si>
  <si>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</si>
  <si>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</si>
  <si>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</si>
  <si>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</si>
  <si>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</si>
  <si>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</si>
  <si>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</si>
  <si>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</si>
  <si>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</si>
  <si>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</si>
  <si>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</si>
  <si>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</si>
  <si>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</si>
  <si>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</si>
  <si>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</si>
  <si>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</si>
  <si>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</si>
  <si>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</si>
  <si>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</si>
  <si>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</si>
  <si>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</si>
  <si>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</si>
  <si>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</si>
  <si>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</si>
  <si>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</si>
  <si>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</si>
  <si>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</si>
  <si>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</si>
  <si>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</si>
  <si>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</si>
  <si>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</si>
  <si>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</si>
  <si>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</si>
  <si>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</si>
  <si>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</si>
  <si>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</si>
  <si>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</si>
  <si>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</si>
  <si>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</si>
  <si>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</si>
  <si>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</si>
  <si>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</si>
  <si>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</si>
  <si>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</si>
  <si>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</si>
  <si>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</si>
  <si>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</si>
  <si>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</si>
  <si>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</si>
  <si>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</si>
  <si>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</si>
  <si>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</si>
  <si>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</si>
  <si>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</si>
  <si>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</si>
  <si>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</si>
  <si>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</si>
  <si>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</si>
  <si>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</si>
  <si>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</si>
  <si>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</si>
  <si>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</si>
  <si>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</si>
  <si>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</si>
  <si>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</si>
  <si>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</si>
  <si>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</si>
  <si>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</si>
  <si>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</si>
  <si>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</si>
  <si>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</si>
  <si>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</si>
  <si>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</si>
  <si>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</si>
  <si>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</si>
  <si>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</si>
  <si>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</si>
  <si>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</si>
  <si>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</si>
  <si>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</si>
  <si>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</si>
  <si>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</si>
  <si>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</si>
  <si>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</si>
  <si>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</si>
  <si>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</si>
  <si>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</si>
  <si>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</si>
  <si>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</si>
  <si>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</si>
  <si>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</si>
  <si>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</si>
  <si>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</si>
  <si>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</si>
  <si>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</si>
  <si>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</si>
  <si>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</si>
  <si>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</si>
  <si>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</si>
  <si>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</si>
  <si>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</si>
  <si>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</si>
  <si>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</si>
  <si>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</si>
  <si>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</si>
  <si>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</si>
  <si>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</si>
  <si>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</si>
  <si>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</si>
  <si>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</si>
  <si>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</si>
  <si>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</si>
  <si>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</si>
  <si>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</si>
  <si>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</si>
  <si>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</si>
  <si>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</si>
  <si>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</si>
  <si>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</si>
  <si>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</si>
  <si>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</si>
  <si>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</si>
  <si>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</si>
  <si>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</si>
  <si>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</si>
  <si>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</si>
  <si>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</si>
  <si>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</si>
  <si>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</si>
  <si>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</si>
  <si>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</si>
  <si>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</si>
  <si>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</si>
  <si>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</si>
  <si>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</si>
  <si>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</si>
  <si>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</si>
  <si>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</si>
  <si>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</si>
  <si>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</si>
  <si>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</si>
  <si>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</si>
  <si>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</si>
  <si>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</si>
  <si>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</si>
  <si>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</si>
  <si>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</si>
  <si>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</si>
  <si>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</si>
  <si>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</si>
  <si>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</si>
  <si>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</si>
  <si>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</si>
  <si>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</si>
  <si>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</si>
  <si>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</si>
  <si>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</si>
  <si>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</si>
  <si>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</si>
  <si>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</si>
  <si>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</si>
  <si>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</si>
  <si>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</si>
  <si>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</si>
  <si>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</si>
  <si>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</si>
  <si>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</si>
  <si>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</si>
  <si>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</si>
  <si>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</si>
  <si>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</si>
  <si>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</si>
  <si>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</si>
  <si>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</si>
  <si>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</si>
  <si>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</si>
  <si>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</si>
  <si>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</si>
  <si>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</si>
  <si>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</si>
  <si>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</si>
  <si>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</si>
  <si>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</si>
  <si>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</si>
  <si>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</si>
  <si>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</si>
  <si>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</si>
  <si>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</si>
  <si>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</si>
  <si>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</si>
  <si>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</si>
  <si>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</si>
  <si>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</si>
  <si>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</si>
  <si>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</si>
  <si>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</si>
  <si>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</si>
  <si>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</si>
  <si>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</si>
  <si>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</si>
  <si>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</si>
  <si>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</si>
  <si>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</si>
  <si>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</si>
  <si>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</si>
  <si>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</si>
  <si>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</si>
  <si>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</si>
  <si>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</si>
  <si>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</si>
  <si>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</si>
  <si>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</si>
  <si>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</si>
  <si>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</si>
  <si>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</si>
  <si>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</si>
  <si>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</si>
  <si>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</si>
  <si>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</si>
  <si>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</si>
  <si>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</si>
  <si>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</si>
  <si>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</si>
  <si>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</si>
  <si>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</si>
  <si>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</si>
  <si>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</si>
  <si>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</si>
  <si>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</si>
  <si>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</si>
  <si>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</si>
  <si>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</si>
  <si>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</si>
  <si>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</si>
  <si>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</si>
  <si>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</si>
  <si>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</si>
  <si>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</si>
  <si>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</si>
  <si>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</si>
  <si>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</si>
  <si>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</si>
  <si>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</si>
  <si>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</si>
  <si>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</si>
  <si>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</si>
  <si>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</si>
  <si>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</si>
  <si>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</si>
  <si>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</si>
  <si>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</si>
  <si>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</si>
  <si>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</si>
  <si>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</si>
  <si>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</si>
  <si>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</si>
  <si>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</si>
  <si>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</si>
  <si>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</si>
  <si>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</si>
  <si>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</si>
  <si>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</si>
  <si>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</si>
  <si>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</si>
  <si>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</si>
  <si>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</si>
  <si>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</si>
  <si>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</si>
  <si>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</si>
  <si>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</si>
  <si>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</si>
  <si>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</si>
  <si>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</si>
  <si>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</si>
  <si>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</si>
  <si>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</si>
  <si>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</si>
  <si>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</si>
  <si>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</si>
  <si>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</si>
  <si>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</si>
  <si>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</si>
  <si>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</si>
  <si>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</si>
  <si>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</si>
  <si>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</si>
  <si>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</si>
  <si>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</si>
  <si>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</si>
  <si>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</si>
  <si>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</si>
  <si>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</si>
  <si>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</si>
  <si>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</si>
  <si>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</si>
  <si>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</si>
  <si>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</si>
  <si>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</si>
  <si>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</si>
  <si>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</si>
  <si>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</si>
  <si>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</si>
  <si>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</si>
  <si>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</si>
  <si>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</si>
  <si>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</si>
  <si>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</si>
  <si>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</si>
  <si>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</si>
  <si>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</si>
  <si>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</si>
  <si>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</si>
  <si>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</si>
  <si>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</si>
  <si>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</si>
  <si>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</si>
  <si>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</si>
  <si>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</si>
  <si>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</si>
  <si>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</si>
  <si>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</si>
  <si>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</si>
  <si>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</si>
  <si>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</si>
  <si>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</si>
  <si>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</si>
  <si>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</si>
  <si>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</si>
  <si>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</si>
  <si>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</si>
  <si>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</si>
  <si>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</si>
  <si>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</si>
  <si>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</si>
  <si>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</si>
  <si>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</si>
  <si>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</si>
  <si>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</si>
  <si>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</si>
  <si>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</si>
  <si>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</si>
  <si>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</si>
  <si>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</si>
  <si>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</si>
  <si>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</si>
  <si>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</si>
  <si>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</si>
  <si>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</si>
  <si>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</si>
  <si>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</si>
  <si>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</si>
  <si>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</si>
  <si>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</si>
  <si>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</si>
  <si>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</si>
  <si>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</si>
  <si>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</si>
  <si>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</si>
  <si>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</si>
  <si>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</si>
  <si>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</si>
  <si>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</si>
  <si>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</si>
  <si>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</si>
  <si>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</si>
  <si>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</si>
  <si>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</si>
  <si>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</si>
  <si>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</si>
  <si>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</si>
  <si>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</si>
  <si>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</si>
  <si>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</si>
  <si>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</si>
  <si>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</si>
  <si>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</si>
  <si>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</si>
  <si>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</si>
  <si>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</si>
  <si>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</si>
  <si>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</si>
  <si>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</si>
  <si>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</si>
  <si>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</si>
  <si>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</si>
  <si>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</si>
  <si>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</si>
  <si>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</si>
  <si>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</si>
  <si>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</si>
  <si>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</si>
  <si>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</si>
  <si>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</si>
  <si>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</si>
  <si>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</si>
  <si>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</si>
  <si>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</si>
  <si>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</si>
  <si>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</si>
  <si>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</si>
  <si>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</si>
  <si>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</si>
  <si>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</si>
  <si>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</si>
  <si>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</si>
  <si>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</si>
  <si>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</si>
  <si>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</si>
  <si>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</si>
  <si>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</si>
  <si>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</si>
  <si>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</si>
  <si>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</si>
  <si>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</si>
  <si>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</si>
  <si>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</si>
  <si>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</si>
  <si>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</si>
  <si>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</si>
  <si>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</si>
  <si>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</si>
  <si>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</si>
  <si>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</si>
  <si>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</si>
  <si>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</si>
  <si>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</si>
  <si>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</si>
  <si>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</si>
  <si>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</si>
  <si>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</si>
  <si>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</si>
  <si>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</si>
  <si>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</si>
  <si>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</si>
  <si>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</si>
  <si>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</si>
  <si>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</si>
  <si>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</si>
  <si>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</si>
  <si>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</si>
  <si>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</si>
  <si>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</si>
  <si>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</si>
  <si>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</si>
  <si>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</si>
  <si>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</si>
  <si>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</si>
  <si>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</si>
  <si>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</si>
  <si>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</si>
  <si>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</si>
  <si>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</si>
  <si>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</si>
  <si>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</si>
  <si>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</si>
  <si>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</si>
  <si>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</si>
  <si>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</si>
  <si>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</si>
  <si>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</si>
  <si>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</si>
  <si>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</si>
  <si>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</si>
  <si>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</si>
  <si>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</si>
  <si>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</si>
  <si>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</si>
  <si>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</si>
  <si>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</si>
  <si>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</si>
  <si>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</si>
  <si>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</si>
  <si>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</si>
  <si>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</si>
  <si>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</si>
  <si>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</si>
  <si>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</si>
  <si>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</si>
  <si>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</si>
  <si>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</si>
  <si>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</si>
  <si>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</si>
  <si>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</si>
  <si>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</si>
  <si>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</si>
  <si>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</si>
  <si>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</si>
  <si>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</si>
  <si>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</si>
  <si>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</si>
  <si>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</si>
  <si>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</si>
  <si>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</si>
  <si>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</si>
  <si>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</si>
  <si>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</si>
  <si>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</si>
  <si>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</si>
  <si>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</si>
  <si>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</si>
  <si>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</si>
  <si>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</si>
  <si>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</si>
  <si>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</si>
  <si>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</si>
  <si>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</si>
  <si>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</si>
  <si>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</si>
  <si>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</si>
  <si>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</si>
  <si>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</si>
  <si>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</si>
  <si>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</si>
  <si>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</si>
  <si>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</si>
  <si>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</si>
  <si>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</si>
  <si>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</si>
  <si>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</si>
  <si>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</si>
  <si>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</si>
  <si>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</si>
  <si>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</si>
  <si>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</si>
  <si>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</si>
  <si>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</si>
  <si>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</si>
  <si>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</si>
  <si>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</si>
  <si>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</si>
  <si>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</si>
  <si>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</si>
  <si>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</si>
  <si>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</si>
  <si>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</si>
  <si>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</si>
  <si>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</si>
  <si>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</si>
  <si>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</si>
  <si>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</si>
  <si>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</si>
  <si>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</si>
  <si>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</si>
  <si>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</si>
  <si>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</si>
  <si>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</si>
  <si>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</si>
  <si>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</si>
  <si>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</si>
  <si>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</si>
  <si>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</si>
  <si>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</si>
  <si>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</si>
  <si>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</si>
  <si>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</si>
  <si>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</si>
  <si>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</si>
  <si>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</si>
  <si>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</si>
  <si>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</si>
  <si>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</si>
  <si>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</si>
  <si>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</si>
  <si>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</si>
  <si>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</si>
  <si>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</si>
  <si>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</si>
  <si>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</si>
  <si>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</si>
  <si>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</si>
  <si>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</si>
  <si>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</si>
  <si>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</si>
  <si>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</si>
  <si>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</si>
  <si>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</si>
  <si>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</si>
  <si>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</si>
  <si>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</si>
  <si>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</si>
  <si>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</si>
  <si>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</si>
  <si>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</si>
  <si>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</si>
  <si>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</si>
  <si>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</si>
  <si>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</si>
  <si>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</si>
  <si>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</si>
  <si>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</si>
  <si>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</si>
  <si>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</si>
  <si>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</si>
  <si>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</si>
  <si>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</si>
  <si>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</si>
  <si>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</si>
  <si>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</si>
  <si>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</si>
  <si>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</si>
  <si>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</si>
  <si>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</si>
  <si>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</si>
  <si>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</si>
  <si>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</si>
  <si>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</si>
  <si>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</si>
  <si>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</si>
  <si>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</si>
  <si>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</si>
  <si>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</si>
  <si>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</si>
  <si>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</si>
  <si>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</si>
  <si>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</si>
  <si>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</si>
  <si>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</si>
  <si>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</si>
  <si>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</si>
  <si>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</si>
  <si>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</si>
  <si>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</si>
  <si>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</si>
  <si>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</si>
  <si>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</si>
  <si>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</si>
  <si>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</si>
  <si>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</si>
  <si>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</si>
  <si>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</si>
  <si>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</si>
  <si>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</si>
  <si>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</si>
  <si>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</si>
  <si>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</si>
  <si>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</si>
  <si>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</si>
  <si>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</si>
  <si>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</si>
  <si>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</si>
  <si>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</si>
  <si>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</si>
  <si>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</si>
  <si>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</si>
  <si>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</si>
  <si>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</si>
  <si>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</si>
  <si>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</si>
  <si>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</si>
  <si>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</si>
  <si>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</si>
  <si>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</si>
  <si>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</si>
  <si>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</si>
  <si>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</si>
  <si>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</si>
  <si>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</si>
  <si>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</si>
  <si>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</si>
  <si>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</si>
  <si>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</si>
  <si>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</si>
  <si>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</si>
  <si>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</si>
  <si>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</si>
  <si>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</si>
  <si>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</si>
  <si>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</si>
  <si>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</si>
  <si>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</si>
  <si>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</si>
  <si>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</si>
  <si>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</si>
  <si>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</si>
  <si>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</si>
  <si>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</si>
  <si>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</si>
  <si>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</si>
  <si>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</si>
  <si>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</si>
  <si>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</si>
  <si>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</si>
  <si>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</si>
  <si>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</si>
  <si>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</si>
  <si>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</si>
  <si>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</si>
  <si>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</si>
  <si>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</si>
  <si>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</si>
  <si>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</si>
  <si>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</si>
  <si>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</si>
  <si>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</si>
  <si>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</si>
  <si>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</si>
  <si>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</si>
  <si>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</si>
  <si>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</si>
  <si>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</si>
  <si>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</si>
  <si>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</si>
  <si>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</si>
  <si>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</si>
  <si>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</si>
  <si>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</si>
  <si>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</si>
  <si>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</si>
  <si>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</si>
  <si>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</si>
  <si>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</si>
  <si>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</si>
  <si>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</si>
  <si>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</si>
  <si>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</si>
  <si>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</si>
  <si>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</si>
  <si>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</si>
  <si>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</si>
  <si>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</si>
  <si>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</si>
  <si>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</si>
  <si>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</si>
  <si>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</si>
  <si>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</si>
  <si>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</si>
  <si>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</si>
  <si>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</si>
  <si>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</si>
  <si>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</si>
  <si>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</si>
  <si>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</si>
  <si>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</si>
  <si>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</si>
  <si>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</si>
  <si>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</si>
  <si>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</si>
  <si>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</si>
  <si>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</si>
  <si>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</si>
  <si>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</si>
  <si>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</si>
  <si>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</si>
  <si>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</si>
  <si>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</si>
  <si>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</si>
  <si>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</si>
  <si>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</si>
  <si>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</si>
  <si>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</si>
  <si>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</si>
  <si>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</si>
  <si>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</si>
  <si>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</si>
  <si>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</si>
  <si>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</si>
  <si>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</si>
  <si>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</si>
  <si>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</si>
  <si>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</si>
  <si>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</si>
  <si>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</si>
  <si>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</si>
  <si>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</si>
  <si>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</si>
  <si>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</si>
  <si>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</si>
  <si>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</si>
  <si>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</si>
  <si>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</si>
  <si>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</si>
  <si>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</si>
  <si>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</si>
  <si>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</si>
  <si>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</si>
  <si>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</si>
  <si>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</si>
  <si>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</si>
  <si>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</si>
  <si>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</si>
  <si>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</si>
  <si>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</si>
  <si>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</si>
  <si>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</si>
  <si>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</si>
  <si>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</si>
  <si>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</si>
  <si>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</si>
  <si>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</si>
  <si>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</si>
  <si>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</si>
  <si>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</si>
  <si>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</si>
  <si>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</si>
  <si>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</si>
  <si>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</si>
  <si>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</si>
  <si>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</si>
  <si>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</si>
  <si>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</si>
  <si>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</si>
  <si>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</si>
  <si>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</si>
  <si>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</si>
  <si>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</si>
  <si>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</si>
  <si>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</si>
  <si>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</si>
  <si>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</si>
  <si>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</si>
  <si>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</si>
  <si>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</si>
  <si>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</si>
  <si>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</si>
  <si>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</si>
  <si>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</si>
  <si>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</si>
  <si>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</si>
  <si>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</si>
  <si>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</si>
  <si>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</si>
  <si>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</si>
  <si>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</si>
  <si>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</si>
  <si>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</si>
  <si>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</si>
  <si>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</si>
  <si>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</si>
  <si>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</si>
  <si>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</si>
  <si>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</si>
  <si>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</si>
  <si>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</si>
  <si>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</si>
  <si>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</si>
  <si>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</si>
  <si>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</si>
  <si>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</si>
  <si>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</si>
  <si>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</si>
  <si>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</si>
  <si>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</si>
  <si>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</si>
  <si>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</si>
  <si>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</si>
  <si>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</si>
  <si>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</si>
  <si>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</si>
  <si>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</si>
  <si>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</si>
  <si>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</si>
  <si>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</si>
  <si>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</si>
  <si>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</si>
  <si>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</si>
  <si>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</si>
  <si>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</si>
  <si>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</si>
  <si>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</si>
  <si>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</si>
  <si>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</si>
  <si>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</si>
  <si>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</si>
  <si>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</si>
  <si>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</si>
  <si>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</si>
  <si>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</si>
  <si>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</si>
  <si>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</si>
  <si>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</si>
  <si>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</si>
  <si>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</si>
  <si>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</si>
  <si>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</si>
  <si>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</si>
  <si>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</si>
  <si>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</si>
  <si>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</si>
  <si>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</si>
  <si>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</si>
  <si>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</si>
  <si>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</si>
  <si>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</si>
  <si>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</si>
  <si>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</si>
  <si>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</si>
  <si>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</si>
  <si>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</si>
  <si>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</si>
  <si>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</si>
  <si>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</si>
  <si>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</si>
  <si>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</si>
  <si>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</si>
  <si>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</si>
  <si>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</si>
  <si>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</si>
  <si>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</si>
  <si>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</si>
  <si>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</si>
  <si>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</si>
  <si>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</si>
  <si>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</si>
  <si>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</si>
  <si>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</si>
  <si>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</si>
  <si>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</si>
  <si>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</si>
  <si>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</si>
  <si>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</si>
  <si>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</si>
  <si>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</si>
  <si>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</si>
  <si>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</si>
  <si>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</si>
  <si>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</si>
  <si>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</si>
  <si>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</si>
  <si>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</si>
  <si>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</si>
  <si>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</si>
  <si>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</si>
  <si>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</si>
  <si>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</si>
  <si>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</si>
  <si>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</si>
  <si>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</si>
  <si>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</si>
  <si>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</si>
  <si>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</si>
  <si>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</si>
  <si>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</si>
  <si>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</si>
  <si>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</si>
  <si>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</si>
  <si>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</si>
  <si>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</si>
  <si>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</si>
  <si>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</si>
  <si>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</si>
  <si>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</si>
  <si>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</si>
  <si>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</si>
  <si>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</si>
  <si>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</si>
  <si>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</si>
  <si>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</si>
  <si>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</si>
  <si>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</si>
  <si>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</si>
  <si>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</si>
  <si>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</si>
  <si>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</si>
  <si>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</si>
  <si>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</si>
  <si>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</si>
  <si>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</si>
  <si>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</si>
  <si>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</si>
  <si>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</si>
  <si>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</si>
  <si>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</si>
  <si>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</si>
  <si>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</si>
  <si>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</si>
  <si>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</si>
  <si>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</si>
  <si>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</si>
  <si>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</si>
  <si>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</si>
  <si>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</si>
  <si>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</si>
  <si>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</si>
  <si>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</si>
  <si>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</si>
  <si>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</si>
  <si>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</si>
  <si>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</si>
  <si>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</si>
  <si>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</si>
  <si>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</si>
  <si>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</si>
  <si>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</si>
  <si>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</si>
  <si>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</si>
  <si>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</si>
  <si>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</si>
  <si>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</si>
  <si>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</si>
  <si>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</si>
  <si>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</si>
  <si>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</si>
  <si>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</si>
  <si>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</si>
  <si>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</si>
  <si>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</si>
  <si>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</si>
  <si>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</si>
  <si>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</si>
  <si>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</si>
  <si>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</si>
  <si>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</si>
  <si>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</si>
  <si>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</si>
  <si>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</si>
  <si>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</si>
  <si>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</si>
  <si>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</si>
  <si>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</si>
  <si>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</si>
  <si>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</si>
  <si>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</si>
  <si>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</si>
  <si>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</si>
  <si>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</si>
  <si>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</si>
  <si>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</si>
  <si>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</si>
  <si>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</si>
  <si>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</si>
  <si>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</si>
  <si>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</si>
  <si>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</si>
  <si>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</si>
  <si>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</si>
  <si>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</si>
  <si>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</si>
  <si>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</si>
  <si>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</si>
  <si>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</si>
  <si>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</si>
  <si>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</si>
  <si>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</si>
  <si>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</si>
  <si>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</si>
  <si>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</si>
  <si>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</si>
  <si>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</si>
  <si>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</si>
  <si>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</si>
  <si>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</si>
  <si>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</si>
  <si>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</si>
  <si>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</si>
  <si>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</si>
  <si>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</si>
  <si>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</si>
  <si>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</si>
  <si>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</si>
  <si>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</si>
  <si>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</si>
  <si>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</si>
  <si>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</si>
  <si>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</si>
  <si>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</si>
  <si>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</si>
  <si>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</si>
  <si>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</si>
  <si>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</si>
  <si>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</si>
  <si>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</si>
  <si>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</si>
  <si>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</si>
  <si>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</si>
  <si>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</si>
  <si>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</si>
  <si>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</si>
  <si>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</si>
  <si>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</si>
  <si>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</si>
  <si>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</si>
  <si>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</si>
  <si>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</si>
  <si>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</si>
  <si>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</si>
  <si>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</si>
  <si>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</si>
  <si>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</si>
  <si>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</si>
  <si>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</si>
  <si>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</si>
  <si>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</si>
  <si>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</si>
  <si>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</si>
  <si>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</si>
  <si>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</si>
  <si>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</si>
  <si>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</si>
  <si>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</si>
  <si>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</si>
  <si>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</si>
  <si>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</si>
  <si>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</si>
  <si>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</si>
  <si>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</si>
  <si>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</si>
  <si>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</si>
  <si>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</si>
  <si>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</si>
  <si>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</si>
  <si>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</si>
  <si>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</si>
  <si>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</si>
  <si>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</si>
  <si>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</si>
  <si>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</si>
  <si>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</si>
  <si>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</si>
  <si>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</si>
  <si>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</si>
  <si>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</si>
  <si>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</si>
  <si>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</si>
  <si>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</si>
  <si>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</si>
  <si>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</si>
  <si>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</si>
  <si>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</si>
  <si>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</si>
  <si>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</si>
  <si>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</si>
  <si>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</si>
  <si>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</si>
  <si>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</si>
  <si>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</si>
  <si>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</si>
  <si>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</si>
  <si>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</si>
  <si>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</si>
  <si>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</si>
  <si>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</si>
  <si>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</si>
  <si>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</si>
  <si>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</si>
  <si>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</si>
  <si>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</si>
  <si>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</si>
  <si>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</si>
  <si>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</si>
  <si>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</si>
  <si>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</si>
  <si>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</si>
  <si>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</si>
  <si>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</si>
  <si>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</si>
  <si>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</si>
  <si>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</si>
  <si>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</si>
  <si>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</si>
  <si>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</si>
  <si>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</si>
  <si>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</si>
  <si>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</si>
  <si>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</si>
  <si>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</si>
  <si>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</si>
  <si>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</si>
  <si>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</si>
  <si>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</si>
  <si>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</si>
  <si>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</si>
  <si>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</si>
  <si>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</si>
  <si>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</si>
  <si>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</si>
  <si>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</si>
  <si>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</si>
  <si>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</si>
  <si>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</si>
  <si>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</si>
  <si>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</si>
  <si>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</si>
  <si>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</si>
  <si>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</si>
  <si>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</si>
  <si>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</si>
  <si>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</si>
  <si>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</si>
  <si>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</si>
  <si>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</si>
  <si>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</si>
  <si>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</si>
  <si>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</si>
  <si>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</si>
  <si>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</si>
  <si>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</si>
  <si>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</si>
  <si>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</si>
  <si>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</si>
  <si>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</si>
  <si>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</si>
  <si>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</si>
  <si>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</si>
  <si>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</si>
  <si>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</si>
  <si>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</si>
  <si>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</si>
  <si>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</si>
  <si>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</si>
  <si>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</si>
  <si>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</si>
  <si>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</si>
  <si>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</si>
  <si>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</si>
  <si>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</si>
  <si>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</si>
  <si>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</si>
  <si>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</si>
  <si>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</si>
  <si>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</si>
  <si>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</si>
  <si>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</si>
  <si>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</si>
  <si>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</si>
  <si>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</si>
  <si>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</si>
  <si>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</si>
  <si>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</si>
  <si>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</si>
  <si>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</si>
  <si>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</si>
  <si>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</si>
  <si>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</si>
  <si>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</si>
  <si>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</si>
  <si>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</si>
  <si>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</si>
  <si>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</si>
  <si>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</si>
  <si>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</si>
  <si>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</si>
  <si>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</si>
  <si>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</si>
  <si>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</si>
  <si>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</si>
  <si>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</si>
  <si>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</si>
  <si>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</si>
  <si>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</si>
  <si>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</si>
  <si>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</si>
  <si>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</si>
  <si>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</si>
  <si>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</si>
  <si>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</si>
  <si>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</si>
  <si>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</si>
  <si>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</si>
  <si>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</si>
  <si>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</si>
  <si>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</si>
  <si>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</si>
  <si>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</si>
  <si>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</si>
  <si>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</si>
  <si>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</si>
  <si>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</si>
  <si>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</si>
  <si>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</si>
  <si>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</si>
  <si>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</si>
  <si>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</si>
  <si>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</si>
  <si>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</si>
  <si>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</si>
  <si>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</si>
  <si>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</si>
  <si>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</si>
  <si>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</si>
  <si>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</si>
  <si>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</si>
  <si>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</si>
  <si>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</si>
  <si>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</si>
  <si>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</si>
  <si>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</si>
  <si>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</si>
  <si>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</si>
  <si>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</si>
  <si>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</si>
  <si>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</si>
  <si>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</si>
  <si>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</si>
  <si>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</si>
  <si>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</si>
  <si>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</si>
  <si>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</si>
  <si>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</si>
  <si>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</si>
  <si>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</si>
  <si>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</si>
  <si>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</si>
  <si>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</si>
  <si>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</si>
  <si>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</si>
  <si>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</si>
  <si>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</si>
  <si>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</si>
  <si>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</si>
  <si>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</si>
  <si>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</si>
  <si>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</si>
  <si>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</si>
  <si>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</si>
  <si>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</si>
  <si>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</si>
  <si>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</si>
  <si>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</si>
  <si>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</si>
  <si>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</si>
  <si>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</si>
  <si>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</si>
  <si>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</si>
  <si>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</si>
  <si>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</si>
  <si>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</si>
  <si>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</si>
  <si>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</si>
  <si>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</si>
  <si>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</si>
  <si>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</si>
  <si>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</si>
  <si>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</si>
  <si>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</si>
  <si>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</si>
  <si>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</si>
  <si>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</si>
  <si>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</si>
  <si>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</si>
  <si>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</si>
  <si>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</si>
  <si>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</si>
  <si>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</si>
  <si>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</si>
  <si>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</si>
  <si>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</si>
  <si>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</si>
  <si>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</si>
  <si>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</si>
  <si>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</si>
  <si>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</si>
  <si>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</si>
  <si>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</si>
  <si>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</si>
  <si>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</si>
  <si>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</si>
  <si>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</si>
  <si>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</si>
  <si>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</si>
  <si>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</si>
  <si>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</si>
  <si>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</si>
  <si>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</si>
  <si>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</si>
  <si>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</si>
  <si>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</si>
  <si>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</si>
  <si>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</si>
  <si>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</si>
  <si>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</si>
  <si>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</si>
  <si>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</si>
  <si>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</si>
  <si>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</si>
  <si>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</si>
  <si>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</si>
  <si>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</si>
  <si>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</si>
  <si>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</si>
  <si>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</si>
  <si>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</si>
  <si>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</si>
  <si>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</si>
  <si>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</si>
  <si>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</si>
  <si>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</si>
  <si>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</si>
  <si>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</si>
  <si>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</si>
  <si>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</si>
  <si>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</si>
  <si>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</si>
  <si>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</si>
  <si>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</si>
  <si>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</si>
  <si>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</si>
  <si>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</si>
  <si>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</si>
  <si>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</si>
  <si>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</si>
  <si>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</si>
  <si>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</si>
  <si>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</si>
  <si>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</si>
  <si>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</si>
  <si>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</si>
  <si>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</si>
  <si>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</si>
  <si>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</si>
  <si>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</si>
  <si>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</si>
  <si>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</si>
  <si>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</si>
  <si>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</si>
  <si>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</si>
  <si>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</si>
  <si>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</si>
  <si>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</si>
  <si>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</si>
  <si>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</si>
  <si>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</si>
  <si>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</si>
  <si>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</si>
  <si>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</si>
  <si>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</si>
  <si>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</si>
  <si>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</si>
  <si>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</si>
  <si>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</si>
  <si>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</si>
  <si>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</si>
  <si>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</si>
  <si>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</si>
  <si>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</si>
  <si>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</si>
  <si>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</si>
  <si>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</si>
  <si>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</si>
  <si>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</si>
  <si>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</si>
  <si>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</si>
  <si>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</si>
  <si>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</si>
  <si>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</si>
  <si>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</si>
  <si>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</si>
  <si>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</si>
  <si>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</si>
  <si>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</si>
  <si>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</si>
  <si>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</si>
  <si>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</si>
  <si>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</si>
  <si>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</si>
  <si>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</si>
  <si>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</si>
  <si>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</si>
  <si>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</si>
  <si>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</si>
  <si>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</si>
  <si>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</si>
  <si>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</si>
  <si>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</si>
  <si>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</si>
  <si>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</si>
  <si>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</si>
  <si>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</si>
  <si>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</si>
  <si>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</si>
  <si>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</si>
  <si>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</si>
  <si>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</si>
  <si>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</si>
  <si>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</si>
  <si>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</si>
  <si>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</si>
  <si>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</si>
  <si>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</si>
  <si>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</si>
  <si>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</si>
  <si>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</si>
  <si>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</si>
  <si>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</si>
  <si>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</si>
  <si>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</si>
  <si>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</si>
  <si>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</si>
  <si>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</si>
  <si>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</si>
  <si>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</si>
  <si>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</si>
  <si>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</si>
  <si>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</si>
  <si>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</si>
  <si>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</si>
  <si>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</si>
  <si>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</si>
  <si>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</si>
  <si>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</si>
  <si>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</si>
  <si>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</si>
  <si>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</si>
  <si>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</si>
  <si>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</si>
  <si>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</si>
  <si>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</si>
  <si>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</si>
  <si>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</si>
  <si>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</si>
  <si>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</si>
  <si>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</si>
  <si>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</si>
  <si>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</si>
  <si>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</si>
  <si>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</si>
  <si>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</si>
  <si>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</si>
  <si>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</si>
  <si>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</si>
  <si>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</si>
  <si>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</si>
  <si>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</si>
  <si>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</si>
  <si>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</si>
  <si>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</si>
  <si>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</si>
  <si>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</si>
  <si>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</si>
  <si>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</si>
  <si>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</si>
  <si>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</si>
  <si>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</si>
  <si>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</si>
  <si>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</si>
  <si>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</si>
  <si>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</si>
  <si>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</si>
  <si>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</si>
  <si>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</si>
  <si>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</si>
  <si>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</si>
  <si>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</si>
  <si>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</si>
  <si>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</si>
  <si>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</si>
  <si>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</si>
  <si>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</si>
  <si>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</si>
  <si>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</si>
  <si>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</si>
  <si>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</si>
  <si>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</si>
  <si>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</si>
  <si>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</si>
  <si>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</si>
  <si>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</si>
  <si>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</si>
  <si>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</si>
  <si>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</si>
  <si>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</si>
  <si>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</si>
  <si>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</si>
  <si>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</si>
  <si>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</si>
  <si>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</si>
  <si>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</si>
  <si>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</si>
  <si>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</si>
  <si>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</si>
  <si>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</si>
  <si>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</si>
  <si>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</si>
  <si>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</si>
  <si>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</si>
  <si>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</si>
  <si>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</si>
  <si>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</si>
  <si>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</si>
  <si>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</si>
  <si>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</si>
  <si>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</si>
  <si>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</si>
  <si>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</si>
  <si>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</si>
  <si>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</si>
  <si>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</si>
  <si>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</si>
  <si>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</si>
  <si>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</si>
  <si>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</si>
  <si>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</si>
  <si>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</si>
  <si>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</si>
  <si>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</si>
  <si>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</si>
  <si>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</si>
  <si>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</si>
  <si>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</si>
  <si>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</si>
  <si>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</si>
  <si>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</si>
  <si>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</si>
  <si>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</si>
  <si>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</si>
  <si>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</si>
  <si>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</si>
  <si>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</si>
  <si>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</si>
  <si>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</si>
  <si>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</si>
  <si>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</si>
  <si>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</si>
  <si>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</si>
  <si>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</si>
  <si>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</si>
  <si>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</si>
  <si>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</si>
  <si>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</si>
  <si>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</si>
  <si>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</si>
  <si>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</si>
  <si>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</si>
  <si>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</si>
  <si>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</si>
  <si>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</si>
  <si>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</si>
  <si>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</si>
  <si>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</si>
  <si>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</si>
  <si>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</si>
  <si>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</si>
  <si>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</si>
  <si>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</si>
  <si>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</si>
  <si>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</si>
  <si>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</si>
  <si>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</si>
  <si>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</si>
  <si>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</si>
  <si>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</si>
  <si>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</si>
  <si>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</si>
  <si>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</si>
  <si>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</si>
  <si>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</si>
  <si>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</si>
  <si>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</si>
  <si>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</si>
  <si>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</si>
  <si>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</si>
  <si>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</si>
  <si>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</si>
  <si>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</si>
  <si>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</si>
  <si>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</si>
  <si>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</si>
  <si>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</si>
  <si>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</si>
  <si>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</si>
  <si>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</si>
  <si>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</si>
  <si>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</si>
  <si>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</si>
  <si>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</si>
  <si>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</si>
  <si>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</si>
  <si>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</si>
  <si>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</si>
  <si>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</si>
  <si>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</si>
  <si>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</si>
  <si>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</si>
  <si>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</si>
  <si>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</si>
  <si>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</si>
  <si>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</si>
  <si>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</si>
  <si>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</si>
  <si>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</si>
  <si>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</si>
  <si>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</si>
  <si>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</si>
  <si>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</si>
  <si>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</si>
  <si>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</si>
  <si>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</si>
  <si>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</si>
  <si>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</si>
  <si>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</si>
  <si>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</si>
  <si>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</si>
  <si>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</si>
  <si>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</si>
  <si>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</si>
  <si>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</si>
  <si>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</si>
  <si>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</si>
  <si>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</si>
  <si>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</si>
  <si>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</si>
  <si>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</si>
  <si>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</si>
  <si>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</si>
  <si>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</si>
  <si>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</si>
  <si>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</si>
  <si>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</si>
  <si>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</si>
  <si>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</si>
  <si>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</si>
  <si>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</si>
  <si>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</si>
  <si>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</si>
  <si>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</si>
  <si>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</si>
  <si>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</si>
  <si>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</si>
  <si>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</si>
  <si>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</si>
  <si>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</si>
  <si>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</si>
  <si>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</si>
  <si>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</si>
  <si>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</si>
  <si>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</si>
  <si>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</si>
  <si>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</si>
  <si>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</si>
  <si>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</si>
  <si>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</si>
  <si>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</si>
  <si>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</si>
  <si>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</si>
  <si>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</si>
  <si>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</si>
  <si>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</si>
  <si>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</si>
  <si>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</si>
  <si>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</si>
  <si>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</si>
  <si>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</si>
  <si>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</si>
  <si>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</si>
  <si>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</si>
  <si>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</si>
  <si>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</si>
  <si>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</si>
  <si>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</si>
  <si>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</si>
  <si>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</si>
  <si>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</si>
  <si>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</si>
  <si>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</si>
  <si>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</si>
  <si>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</si>
  <si>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</si>
  <si>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</si>
  <si>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</si>
  <si>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</si>
  <si>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</si>
  <si>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</si>
  <si>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</si>
  <si>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</si>
  <si>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</si>
  <si>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</si>
  <si>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</si>
  <si>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</si>
  <si>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</si>
  <si>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</si>
  <si>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</si>
  <si>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</si>
  <si>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</si>
  <si>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</si>
  <si>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</si>
  <si>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</si>
  <si>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</si>
  <si>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</si>
  <si>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</si>
  <si>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</si>
  <si>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</si>
  <si>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</si>
  <si>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</si>
  <si>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</si>
  <si>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</si>
  <si>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</si>
  <si>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</si>
  <si>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</si>
  <si>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</si>
  <si>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</si>
  <si>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</si>
  <si>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</si>
  <si>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</si>
  <si>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</si>
  <si>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</si>
  <si>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</si>
  <si>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</si>
  <si>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</si>
  <si>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</si>
  <si>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</si>
  <si>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</si>
  <si>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</si>
  <si>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</si>
  <si>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</si>
  <si>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</si>
  <si>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</si>
  <si>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</si>
  <si>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</si>
  <si>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</si>
  <si>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</si>
  <si>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</si>
  <si>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</si>
  <si>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</si>
  <si>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</si>
  <si>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</si>
  <si>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</si>
  <si>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</si>
  <si>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</si>
  <si>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</si>
  <si>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</si>
  <si>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</si>
  <si>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</si>
  <si>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</si>
  <si>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</si>
  <si>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</si>
  <si>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</si>
  <si>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</si>
  <si>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</si>
  <si>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</si>
  <si>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</si>
  <si>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</si>
  <si>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</si>
  <si>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</si>
  <si>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</si>
  <si>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</si>
  <si>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</si>
  <si>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</si>
  <si>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</si>
  <si>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</si>
  <si>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</si>
  <si>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</si>
  <si>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</si>
  <si>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</si>
  <si>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</si>
  <si>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</si>
  <si>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</si>
  <si>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</si>
  <si>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</si>
  <si>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</si>
  <si>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</si>
  <si>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</si>
  <si>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</si>
  <si>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</si>
  <si>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</si>
  <si>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</si>
  <si>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</si>
  <si>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</si>
  <si>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</si>
  <si>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</si>
  <si>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</si>
  <si>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</si>
  <si>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</si>
  <si>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</si>
  <si>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</si>
  <si>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</si>
  <si>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</si>
  <si>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</si>
  <si>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</si>
  <si>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</si>
  <si>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</si>
  <si>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</si>
  <si>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</si>
  <si>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</si>
  <si>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</si>
  <si>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</si>
  <si>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</si>
  <si>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</si>
  <si>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</si>
  <si>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</si>
  <si>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</si>
  <si>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</si>
  <si>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</si>
  <si>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</si>
  <si>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</si>
  <si>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</si>
  <si>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</si>
  <si>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</si>
  <si>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</si>
  <si>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</si>
  <si>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</si>
  <si>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</si>
  <si>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</si>
  <si>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</si>
  <si>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</si>
  <si>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</si>
  <si>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</si>
  <si>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</si>
  <si>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</si>
  <si>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</si>
  <si>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</si>
  <si>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</si>
  <si>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</si>
  <si>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</si>
  <si>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</si>
  <si>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</si>
  <si>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</si>
  <si>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</si>
  <si>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</si>
  <si>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</si>
  <si>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</si>
  <si>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</si>
  <si>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</si>
  <si>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</si>
  <si>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</si>
  <si>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</si>
  <si>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</si>
  <si>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</si>
  <si>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</si>
  <si>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</si>
  <si>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</si>
  <si>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</si>
  <si>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</si>
  <si>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</si>
  <si>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</si>
  <si>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</si>
  <si>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</si>
  <si>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</si>
  <si>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</si>
  <si>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</si>
  <si>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</si>
  <si>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</si>
  <si>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</si>
  <si>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</si>
  <si>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</si>
  <si>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</si>
  <si>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</si>
  <si>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</si>
  <si>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</si>
  <si>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</si>
  <si>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</si>
  <si>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</si>
  <si>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</si>
  <si>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</si>
  <si>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</si>
  <si>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</si>
  <si>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</si>
  <si>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</si>
  <si>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</si>
  <si>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</si>
  <si>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</si>
  <si>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</si>
  <si>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</si>
  <si>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</si>
  <si>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</si>
  <si>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</si>
  <si>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</si>
  <si>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</si>
  <si>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</si>
  <si>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</si>
  <si>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</si>
  <si>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</si>
  <si>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</si>
  <si>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</si>
  <si>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</si>
  <si>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</si>
  <si>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</si>
  <si>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</si>
  <si>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</si>
  <si>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</si>
  <si>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</si>
  <si>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</si>
  <si>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</si>
  <si>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</si>
  <si>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</si>
  <si>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</si>
  <si>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</si>
  <si>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</si>
  <si>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</si>
  <si>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</si>
  <si>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</si>
  <si>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</si>
  <si>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</si>
  <si>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</si>
  <si>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</si>
  <si>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</si>
  <si>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</si>
  <si>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</si>
  <si>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</si>
  <si>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</si>
  <si>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</si>
  <si>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</si>
  <si>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</si>
  <si>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</si>
  <si>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</si>
  <si>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</si>
  <si>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</si>
  <si>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</si>
  <si>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</si>
  <si>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</si>
  <si>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</si>
  <si>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</si>
  <si>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</si>
  <si>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</si>
  <si>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</si>
  <si>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</si>
  <si>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</si>
  <si>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</si>
  <si>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</si>
  <si>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</si>
  <si>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</si>
  <si>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</si>
  <si>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</si>
  <si>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</si>
  <si>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</si>
  <si>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</si>
  <si>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</si>
  <si>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</si>
  <si>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</si>
  <si>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</si>
  <si>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</si>
  <si>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</si>
  <si>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</si>
  <si>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</si>
  <si>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</si>
  <si>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</si>
  <si>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</si>
  <si>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</si>
  <si>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</si>
  <si>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</si>
  <si>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</si>
  <si>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</si>
  <si>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</si>
  <si>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</si>
  <si>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</si>
  <si>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</si>
  <si>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</si>
  <si>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</si>
  <si>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</si>
  <si>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</si>
  <si>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</si>
  <si>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</si>
  <si>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</si>
  <si>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</si>
  <si>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</si>
  <si>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</si>
  <si>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</si>
  <si>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</si>
  <si>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</si>
  <si>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</si>
  <si>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</si>
  <si>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</si>
  <si>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</si>
  <si>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</si>
  <si>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</si>
  <si>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</si>
  <si>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</si>
  <si>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</si>
  <si>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</si>
  <si>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</si>
  <si>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</si>
  <si>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</si>
  <si>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</si>
  <si>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</si>
  <si>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</si>
  <si>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</si>
  <si>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</si>
  <si>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</si>
  <si>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</si>
  <si>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</si>
  <si>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</si>
  <si>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</si>
  <si>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</si>
  <si>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</si>
  <si>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</si>
  <si>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</si>
  <si>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</si>
  <si>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</si>
  <si>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</si>
  <si>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</si>
  <si>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</si>
  <si>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</si>
  <si>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</si>
  <si>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</si>
  <si>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</si>
  <si>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</si>
  <si>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</si>
  <si>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</si>
  <si>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</si>
  <si>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</si>
  <si>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</si>
  <si>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</si>
  <si>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</si>
  <si>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</si>
  <si>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</si>
  <si>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</si>
  <si>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</si>
  <si>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</si>
  <si>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</si>
  <si>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</si>
  <si>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</si>
  <si>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</si>
  <si>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</si>
  <si>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</si>
  <si>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</si>
  <si>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</si>
  <si>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</si>
  <si>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</si>
  <si>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</si>
  <si>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</si>
  <si>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</si>
  <si>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</si>
  <si>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</si>
  <si>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</si>
  <si>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</si>
  <si>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</si>
  <si>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</si>
  <si>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</si>
  <si>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</si>
  <si>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</si>
  <si>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</si>
  <si>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</si>
  <si>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</si>
  <si>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</si>
  <si>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</si>
  <si>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</si>
  <si>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</si>
  <si>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</si>
  <si>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</si>
  <si>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</si>
  <si>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</si>
  <si>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</si>
  <si>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</si>
  <si>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</si>
  <si>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</si>
  <si>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</si>
  <si>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</si>
  <si>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</si>
  <si>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</si>
  <si>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</si>
  <si>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</si>
  <si>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</si>
  <si>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</si>
  <si>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</si>
  <si>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</si>
  <si>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</si>
  <si>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</si>
  <si>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</si>
  <si>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</si>
  <si>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</si>
  <si>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</si>
  <si>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</si>
  <si>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</si>
  <si>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</si>
  <si>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</si>
  <si>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</si>
  <si>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</si>
  <si>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</si>
  <si>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</si>
  <si>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</si>
  <si>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</si>
  <si>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</si>
  <si>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</si>
  <si>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</si>
  <si>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</si>
  <si>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</si>
  <si>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</si>
  <si>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</si>
  <si>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</si>
  <si>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</si>
  <si>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</si>
  <si>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</si>
  <si>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</si>
  <si>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</si>
  <si>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</si>
  <si>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</si>
  <si>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</si>
  <si>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</si>
  <si>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</si>
  <si>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</si>
  <si>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</si>
  <si>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</si>
  <si>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</si>
  <si>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</si>
  <si>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</si>
  <si>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</si>
  <si>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</si>
  <si>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</si>
  <si>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</si>
  <si>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</si>
  <si>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</si>
  <si>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</si>
  <si>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</si>
  <si>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</si>
  <si>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</si>
  <si>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</si>
  <si>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</si>
  <si>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</si>
  <si>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</si>
  <si>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</si>
  <si>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</si>
  <si>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</si>
  <si>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</si>
  <si>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</si>
  <si>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</si>
  <si>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</si>
  <si>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</si>
  <si>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</si>
  <si>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</si>
  <si>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</si>
  <si>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</si>
  <si>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</si>
  <si>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</si>
  <si>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</si>
  <si>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</si>
  <si>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</si>
  <si>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</si>
  <si>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</si>
  <si>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</si>
  <si>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</si>
  <si>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</si>
  <si>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</si>
  <si>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</si>
  <si>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</si>
  <si>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</si>
  <si>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</si>
  <si>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</si>
  <si>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</si>
  <si>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</si>
  <si>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</si>
  <si>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</si>
  <si>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</si>
  <si>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</si>
  <si>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</si>
  <si>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</si>
  <si>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</si>
  <si>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</si>
  <si>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</si>
  <si>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</si>
  <si>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</si>
  <si>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</si>
  <si>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</si>
  <si>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</si>
  <si>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</si>
  <si>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</si>
  <si>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</si>
  <si>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</si>
  <si>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</si>
  <si>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</si>
  <si>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</si>
  <si>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</si>
  <si>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</si>
  <si>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</si>
  <si>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</si>
  <si>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</si>
  <si>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</si>
  <si>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</si>
  <si>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</si>
  <si>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</si>
  <si>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</si>
  <si>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</si>
  <si>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</si>
  <si>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</si>
  <si>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</si>
  <si>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</si>
  <si>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</si>
  <si>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</si>
  <si>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</si>
  <si>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</si>
  <si>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</si>
  <si>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</si>
  <si>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</si>
  <si>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</si>
  <si>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</si>
  <si>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</si>
  <si>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</si>
  <si>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</si>
  <si>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</si>
  <si>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</si>
  <si>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</si>
  <si>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</si>
  <si>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</si>
  <si>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</si>
  <si>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</si>
  <si>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</si>
  <si>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</si>
  <si>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</si>
  <si>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</si>
  <si>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</si>
  <si>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</si>
  <si>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</si>
  <si>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</si>
  <si>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</si>
  <si>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</si>
  <si>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</si>
  <si>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</si>
  <si>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</si>
  <si>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</si>
  <si>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</si>
  <si>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</si>
  <si>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</si>
  <si>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</si>
  <si>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</si>
  <si>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</si>
  <si>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</si>
  <si>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</si>
  <si>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</si>
  <si>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</si>
  <si>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</si>
  <si>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</si>
  <si>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</si>
  <si>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</si>
  <si>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</si>
  <si>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</si>
  <si>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</si>
  <si>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</si>
  <si>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</si>
  <si>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</si>
  <si>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</si>
  <si>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</si>
  <si>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</si>
  <si>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</si>
  <si>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</si>
  <si>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</si>
  <si>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</si>
  <si>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</si>
  <si>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</si>
  <si>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</si>
  <si>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</si>
  <si>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</si>
  <si>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</si>
  <si>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</si>
  <si>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</si>
  <si>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</si>
  <si>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</si>
  <si>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</si>
  <si>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</si>
  <si>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</si>
  <si>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</si>
  <si>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</si>
  <si>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</si>
  <si>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</si>
  <si>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</si>
  <si>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</si>
  <si>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</si>
  <si>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</si>
  <si>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</si>
  <si>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</si>
  <si>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</si>
  <si>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</si>
  <si>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</si>
  <si>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</si>
  <si>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</si>
  <si>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</si>
  <si>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</si>
  <si>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</si>
  <si>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</si>
  <si>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</si>
  <si>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</si>
  <si>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</si>
  <si>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</si>
  <si>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</si>
  <si>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</si>
  <si>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</si>
  <si>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</si>
  <si>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</si>
  <si>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</si>
  <si>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</si>
  <si>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</si>
  <si>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</si>
  <si>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</si>
  <si>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</si>
  <si>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</si>
  <si>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</si>
  <si>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</si>
  <si>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</si>
  <si>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</si>
  <si>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</si>
  <si>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</si>
  <si>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</si>
  <si>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</si>
  <si>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</si>
  <si>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</si>
  <si>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</si>
  <si>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</si>
  <si>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</si>
  <si>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</si>
  <si>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</si>
  <si>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</si>
  <si>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</si>
  <si>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</si>
  <si>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</si>
  <si>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</si>
  <si>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</si>
  <si>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</si>
  <si>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</si>
  <si>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</si>
  <si>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</si>
  <si>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</si>
  <si>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</si>
  <si>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</si>
  <si>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</si>
  <si>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</si>
  <si>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</si>
  <si>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</si>
  <si>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</si>
  <si>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</si>
  <si>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</si>
  <si>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</si>
  <si>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</si>
  <si>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</si>
  <si>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</si>
  <si>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</si>
  <si>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</si>
  <si>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</si>
  <si>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</si>
  <si>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</si>
  <si>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</si>
  <si>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</si>
  <si>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</si>
  <si>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</si>
  <si>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</si>
  <si>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</si>
  <si>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</si>
  <si>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</si>
  <si>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</si>
  <si>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</si>
  <si>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</si>
  <si>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</si>
  <si>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</si>
  <si>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</si>
  <si>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</si>
  <si>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</si>
  <si>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</si>
  <si>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</si>
  <si>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</si>
  <si>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</si>
  <si>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</si>
  <si>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</si>
  <si>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</si>
  <si>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</si>
  <si>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</si>
  <si>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</si>
  <si>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</si>
  <si>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</si>
  <si>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</si>
  <si>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</si>
  <si>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</si>
  <si>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</si>
  <si>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</si>
  <si>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</si>
  <si>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</si>
  <si>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</si>
  <si>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</si>
  <si>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</si>
  <si>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</si>
  <si>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</si>
  <si>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</si>
  <si>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</si>
  <si>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</si>
  <si>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</si>
  <si>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</si>
  <si>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</si>
  <si>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</si>
  <si>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</si>
  <si>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</si>
  <si>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</si>
  <si>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</si>
  <si>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</si>
  <si>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</si>
  <si>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</si>
  <si>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</si>
  <si>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</si>
  <si>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</si>
  <si>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</si>
  <si>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</si>
  <si>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</si>
  <si>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</si>
  <si>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</si>
  <si>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</si>
  <si>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</si>
  <si>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</si>
  <si>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</si>
  <si>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</si>
  <si>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</si>
  <si>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</si>
  <si>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</si>
  <si>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</si>
  <si>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</si>
  <si>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</si>
  <si>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</si>
  <si>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</si>
  <si>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</si>
  <si>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</si>
  <si>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</si>
  <si>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</si>
  <si>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</si>
  <si>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</si>
  <si>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</si>
  <si>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</si>
  <si>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</si>
  <si>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</si>
  <si>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</si>
  <si>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</si>
  <si>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</si>
  <si>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</si>
  <si>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</si>
  <si>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</si>
  <si>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</si>
  <si>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</si>
  <si>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</si>
  <si>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</si>
  <si>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</si>
  <si>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</si>
  <si>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</si>
  <si>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</si>
  <si>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</si>
  <si>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</si>
  <si>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</si>
  <si>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</si>
  <si>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</si>
  <si>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</si>
  <si>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</si>
  <si>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</si>
  <si>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</si>
  <si>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</si>
  <si>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</si>
  <si>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</si>
  <si>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</si>
  <si>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</si>
  <si>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</si>
  <si>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</si>
  <si>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</si>
  <si>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</si>
  <si>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</si>
  <si>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</si>
  <si>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</si>
  <si>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</si>
  <si>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</si>
  <si>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</si>
  <si>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</si>
  <si>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</si>
  <si>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</si>
  <si>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</si>
  <si>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</si>
  <si>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</si>
  <si>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</si>
  <si>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</si>
  <si>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</si>
  <si>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</si>
  <si>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</si>
  <si>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</si>
  <si>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</si>
  <si>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</si>
  <si>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</si>
  <si>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</si>
  <si>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</si>
  <si>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</si>
  <si>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</si>
  <si>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</si>
  <si>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</si>
  <si>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</si>
  <si>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</si>
  <si>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</si>
  <si>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</si>
  <si>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</si>
  <si>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</si>
  <si>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</si>
  <si>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</si>
  <si>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</si>
  <si>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</si>
  <si>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</si>
  <si>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</si>
  <si>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</si>
  <si>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</si>
  <si>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</si>
  <si>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</si>
  <si>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</si>
  <si>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</si>
  <si>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</si>
  <si>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</si>
  <si>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</si>
  <si>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</si>
  <si>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</si>
  <si>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</si>
  <si>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</si>
  <si>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</si>
  <si>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</si>
  <si>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</si>
  <si>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</si>
  <si>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</si>
  <si>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</si>
  <si>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</si>
  <si>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</si>
  <si>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</si>
  <si>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</si>
  <si>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</si>
  <si>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</si>
  <si>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</si>
  <si>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</si>
  <si>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</si>
  <si>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</si>
  <si>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</si>
  <si>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</si>
  <si>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</si>
  <si>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</si>
  <si>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</si>
  <si>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</si>
  <si>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</si>
  <si>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</si>
  <si>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</si>
  <si>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</si>
  <si>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</si>
  <si>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</si>
  <si>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</si>
  <si>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</si>
  <si>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</si>
  <si>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</si>
  <si>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</si>
  <si>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</si>
  <si>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</si>
  <si>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</si>
  <si>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</si>
  <si>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</si>
  <si>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</si>
  <si>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</si>
  <si>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</si>
  <si>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</si>
  <si>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</si>
  <si>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</si>
  <si>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</si>
  <si>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</si>
  <si>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</si>
  <si>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</si>
  <si>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</si>
  <si>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</si>
  <si>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</si>
  <si>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</si>
  <si>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</si>
  <si>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</si>
  <si>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</si>
  <si>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</si>
  <si>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</si>
  <si>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</si>
  <si>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</si>
  <si>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</si>
  <si>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</si>
  <si>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</si>
  <si>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</si>
  <si>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</si>
  <si>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</si>
  <si>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</si>
  <si>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</si>
  <si>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</si>
  <si>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</si>
  <si>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</si>
  <si>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</si>
  <si>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</si>
  <si>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</si>
  <si>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</si>
  <si>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</si>
  <si>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</si>
  <si>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</si>
  <si>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</si>
  <si>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</si>
  <si>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</si>
  <si>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</si>
  <si>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</si>
  <si>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</si>
  <si>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</si>
  <si>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</si>
  <si>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</si>
  <si>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</si>
  <si>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</si>
  <si>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</si>
  <si>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</si>
  <si>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</si>
  <si>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</si>
  <si>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</si>
  <si>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</si>
  <si>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</si>
  <si>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</si>
  <si>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</si>
  <si>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</si>
  <si>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</si>
  <si>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</si>
  <si>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</si>
  <si>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</si>
  <si>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</si>
  <si>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</si>
  <si>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</si>
  <si>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</si>
  <si>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</si>
  <si>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</si>
  <si>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</si>
  <si>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</si>
  <si>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</si>
  <si>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</si>
  <si>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</si>
  <si>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</si>
  <si>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</si>
  <si>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</si>
  <si>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</si>
  <si>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</si>
  <si>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</si>
  <si>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</si>
  <si>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</si>
  <si>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</si>
  <si>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</si>
  <si>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</si>
  <si>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</si>
  <si>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</si>
  <si>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</si>
  <si>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</si>
  <si>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</si>
  <si>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</si>
  <si>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</si>
  <si>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</si>
  <si>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</si>
  <si>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</si>
  <si>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</si>
  <si>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</si>
  <si>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</si>
  <si>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</si>
  <si>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</si>
  <si>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</si>
  <si>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</si>
  <si>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</si>
  <si>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</si>
  <si>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</si>
  <si>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</si>
  <si>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</si>
  <si>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</si>
  <si>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</si>
  <si>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</si>
  <si>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</si>
  <si>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</si>
  <si>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</si>
  <si>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</si>
  <si>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</si>
  <si>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</si>
  <si>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</si>
  <si>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</si>
  <si>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</si>
  <si>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</si>
  <si>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</si>
  <si>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</si>
  <si>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</si>
  <si>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</si>
  <si>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</si>
  <si>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</si>
  <si>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</si>
  <si>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</si>
  <si>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</si>
  <si>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</si>
  <si>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</si>
  <si>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</si>
  <si>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</si>
  <si>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</si>
  <si>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</si>
  <si>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</si>
  <si>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</si>
  <si>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</si>
  <si>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</si>
  <si>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</si>
  <si>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</si>
  <si>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</si>
  <si>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</si>
  <si>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</si>
  <si>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</si>
  <si>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</si>
  <si>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</si>
  <si>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</si>
  <si>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</si>
  <si>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</si>
  <si>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</si>
  <si>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</si>
  <si>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</si>
  <si>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</si>
  <si>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</si>
  <si>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</si>
  <si>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</si>
  <si>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</si>
  <si>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</si>
  <si>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</si>
  <si>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</si>
  <si>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</si>
  <si>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</si>
  <si>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</si>
  <si>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</si>
  <si>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</si>
  <si>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</si>
  <si>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</si>
  <si>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</si>
  <si>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</si>
  <si>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</si>
  <si>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</si>
  <si>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</si>
  <si>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</si>
  <si>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</si>
  <si>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</si>
  <si>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</si>
  <si>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</si>
  <si>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</si>
  <si>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</si>
  <si>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</si>
  <si>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</si>
  <si>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</si>
  <si>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</si>
  <si>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</si>
  <si>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</si>
  <si>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</si>
  <si>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</si>
  <si>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</si>
  <si>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</si>
  <si>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</si>
  <si>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</si>
  <si>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</si>
  <si>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</si>
  <si>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</si>
  <si>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</si>
  <si>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</si>
  <si>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</si>
  <si>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</si>
  <si>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</si>
  <si>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</si>
  <si>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</si>
  <si>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</si>
  <si>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</si>
  <si>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</si>
  <si>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</si>
  <si>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</si>
  <si>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</si>
  <si>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</si>
  <si>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</si>
  <si>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</si>
  <si>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</si>
  <si>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</si>
  <si>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</si>
  <si>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</si>
  <si>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</si>
  <si>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</si>
  <si>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</si>
  <si>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</si>
  <si>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</si>
  <si>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</si>
  <si>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</si>
  <si>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</si>
  <si>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</si>
  <si>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</si>
  <si>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</si>
  <si>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</si>
  <si>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</si>
  <si>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</si>
  <si>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</si>
  <si>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</si>
  <si>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</si>
  <si>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</si>
  <si>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</si>
  <si>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</si>
  <si>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</si>
  <si>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</si>
  <si>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</si>
  <si>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</si>
  <si>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</si>
  <si>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</si>
  <si>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</si>
  <si>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</si>
  <si>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</si>
  <si>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</si>
  <si>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</si>
  <si>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</si>
  <si>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</si>
  <si>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</si>
  <si>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</si>
  <si>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</si>
  <si>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</si>
  <si>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</si>
  <si>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</si>
  <si>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</si>
  <si>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</si>
  <si>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</si>
  <si>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</si>
  <si>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</si>
  <si>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</si>
  <si>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</si>
  <si>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</si>
  <si>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</si>
  <si>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</si>
  <si>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</si>
  <si>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</si>
  <si>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</si>
  <si>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</si>
  <si>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</si>
  <si>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</si>
  <si>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</si>
  <si>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</si>
  <si>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</si>
  <si>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</si>
  <si>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</si>
  <si>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</si>
  <si>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</si>
  <si>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</si>
  <si>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</si>
  <si>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</si>
  <si>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</si>
  <si>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</si>
  <si>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</si>
  <si>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</si>
  <si>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</si>
  <si>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</si>
  <si>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</si>
  <si>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</si>
  <si>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</si>
  <si>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</si>
  <si>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</si>
  <si>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</si>
  <si>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</si>
  <si>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</si>
  <si>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</si>
  <si>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</si>
  <si>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</si>
  <si>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</si>
  <si>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</si>
  <si>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</si>
  <si>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</si>
  <si>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</si>
  <si>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</si>
  <si>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</si>
  <si>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</si>
  <si>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</si>
  <si>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</si>
  <si>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</si>
  <si>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</si>
  <si>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</si>
  <si>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</si>
  <si>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</si>
  <si>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</si>
  <si>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</si>
  <si>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</si>
  <si>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</si>
  <si>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</si>
  <si>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</si>
  <si>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</si>
  <si>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</si>
  <si>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</si>
  <si>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</si>
  <si>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</si>
  <si>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</si>
  <si>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</si>
  <si>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</si>
  <si>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</si>
  <si>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</si>
  <si>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</si>
  <si>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</si>
  <si>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</si>
  <si>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</si>
  <si>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</si>
  <si>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</si>
  <si>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</si>
  <si>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</si>
  <si>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</si>
  <si>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</si>
  <si>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</si>
  <si>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</si>
  <si>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</si>
  <si>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</si>
  <si>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</si>
  <si>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</si>
  <si>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</si>
  <si>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</si>
  <si>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</si>
  <si>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</si>
  <si>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</si>
  <si>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</si>
  <si>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</si>
  <si>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</si>
  <si>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</si>
  <si>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</si>
  <si>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</si>
  <si>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</si>
  <si>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</si>
  <si>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</si>
  <si>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</si>
  <si>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</si>
  <si>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</si>
  <si>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</si>
  <si>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</si>
  <si>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</si>
  <si>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</si>
  <si>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</si>
  <si>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</si>
  <si>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</si>
  <si>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</si>
  <si>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</si>
  <si>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</si>
  <si>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</si>
  <si>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</si>
  <si>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</si>
  <si>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</si>
  <si>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</si>
  <si>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</si>
  <si>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</si>
  <si>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</si>
  <si>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</si>
  <si>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</si>
  <si>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</si>
  <si>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</si>
  <si>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</si>
  <si>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</si>
  <si>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</si>
  <si>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</si>
  <si>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</si>
  <si>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</si>
  <si>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</si>
  <si>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</si>
  <si>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</si>
  <si>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</si>
  <si>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</si>
  <si>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</si>
  <si>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</si>
  <si>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</si>
  <si>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</si>
  <si>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</si>
  <si>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</si>
  <si>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</si>
  <si>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</si>
  <si>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</si>
  <si>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</si>
  <si>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</si>
  <si>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</si>
  <si>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</si>
  <si>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</si>
  <si>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</si>
  <si>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</si>
  <si>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</si>
  <si>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</si>
  <si>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</si>
  <si>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</si>
  <si>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</si>
  <si>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</si>
  <si>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</si>
  <si>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</si>
  <si>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</si>
  <si>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</si>
  <si>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</si>
  <si>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</si>
  <si>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</si>
  <si>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</si>
  <si>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</si>
  <si>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</si>
  <si>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</si>
  <si>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</si>
  <si>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</si>
  <si>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</si>
  <si>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</si>
  <si>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</si>
  <si>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</si>
  <si>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</si>
  <si>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</si>
  <si>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</si>
  <si>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</si>
  <si>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</si>
  <si>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</si>
  <si>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</si>
  <si>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</si>
  <si>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</si>
  <si>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</si>
  <si>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</si>
  <si>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</si>
  <si>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</si>
  <si>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</si>
  <si>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</si>
  <si>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</si>
  <si>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</si>
  <si>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</si>
  <si>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</si>
  <si>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</si>
  <si>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</si>
  <si>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</si>
  <si>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</si>
  <si>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</si>
  <si>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</si>
  <si>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</si>
  <si>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</si>
  <si>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</si>
  <si>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</si>
  <si>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</si>
  <si>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</si>
  <si>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</si>
  <si>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</si>
  <si>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</si>
  <si>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</si>
  <si>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</si>
  <si>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</si>
  <si>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</si>
  <si>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</si>
  <si>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</si>
  <si>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</si>
  <si>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</si>
  <si>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</si>
  <si>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</si>
  <si>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</si>
  <si>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</si>
  <si>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</si>
  <si>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</si>
  <si>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</si>
  <si>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</si>
  <si>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</si>
  <si>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</si>
  <si>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</si>
  <si>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</si>
  <si>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</si>
  <si>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</si>
  <si>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</si>
  <si>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</si>
  <si>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</si>
  <si>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</si>
  <si>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</si>
  <si>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</si>
  <si>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</si>
  <si>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</si>
  <si>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</si>
  <si>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</si>
  <si>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</si>
  <si>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</si>
  <si>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</si>
  <si>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</si>
  <si>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</si>
  <si>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</si>
  <si>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</si>
  <si>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</si>
  <si>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</si>
  <si>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</si>
  <si>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</si>
  <si>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</si>
  <si>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</si>
  <si>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</si>
  <si>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</si>
  <si>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</si>
  <si>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</si>
  <si>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</si>
  <si>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</si>
  <si>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</si>
  <si>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</si>
  <si>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</si>
  <si>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</si>
  <si>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</si>
  <si>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</si>
  <si>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</si>
  <si>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</si>
  <si>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</si>
  <si>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</si>
  <si>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</si>
  <si>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</si>
  <si>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</si>
  <si>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</si>
  <si>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</si>
  <si>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</si>
  <si>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</si>
  <si>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</si>
  <si>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</si>
  <si>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</si>
  <si>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</si>
  <si>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</si>
  <si>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</si>
  <si>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</si>
  <si>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</si>
  <si>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</si>
  <si>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</si>
  <si>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</si>
  <si>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</si>
  <si>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</si>
  <si>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</si>
  <si>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</si>
  <si>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</si>
  <si>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</si>
  <si>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</si>
  <si>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</si>
  <si>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</si>
  <si>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</si>
  <si>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</si>
  <si>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</si>
  <si>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</si>
  <si>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</si>
  <si>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</si>
  <si>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</si>
  <si>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</si>
  <si>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</si>
  <si>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</si>
  <si>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</si>
  <si>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</si>
  <si>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</si>
  <si>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</si>
  <si>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</si>
  <si>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</si>
  <si>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</si>
  <si>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</si>
  <si>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</si>
  <si>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</si>
  <si>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</si>
  <si>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</si>
  <si>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</si>
  <si>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</si>
  <si>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</si>
  <si>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</si>
  <si>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</si>
  <si>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</si>
  <si>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</si>
  <si>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</si>
  <si>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</si>
  <si>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</si>
  <si>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</si>
  <si>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</si>
  <si>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</si>
  <si>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</si>
  <si>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</si>
  <si>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</si>
  <si>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</si>
  <si>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</si>
  <si>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</si>
  <si>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</si>
  <si>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</si>
  <si>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</si>
  <si>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</si>
  <si>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</si>
  <si>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</si>
  <si>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</si>
  <si>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</si>
  <si>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</si>
  <si>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</si>
  <si>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</si>
  <si>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</si>
  <si>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</si>
  <si>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</si>
  <si>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</si>
  <si>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</si>
  <si>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</si>
  <si>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</si>
  <si>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</si>
  <si>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</si>
  <si>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</si>
  <si>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</si>
  <si>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</si>
  <si>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</si>
  <si>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</si>
  <si>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</si>
  <si>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</si>
  <si>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</si>
  <si>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</si>
  <si>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</si>
  <si>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</si>
  <si>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</si>
  <si>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</si>
  <si>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</si>
  <si>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</si>
  <si>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</si>
  <si>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</si>
  <si>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</si>
  <si>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</si>
  <si>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</si>
  <si>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</si>
  <si>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</si>
  <si>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</si>
  <si>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</si>
  <si>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</si>
  <si>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</si>
  <si>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</si>
  <si>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</si>
  <si>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</si>
  <si>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</si>
  <si>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</si>
  <si>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</si>
  <si>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</si>
  <si>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</si>
  <si>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</si>
  <si>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</si>
  <si>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</si>
  <si>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</si>
  <si>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</si>
  <si>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</si>
  <si>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</si>
  <si>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</si>
  <si>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</si>
  <si>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</si>
  <si>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</si>
  <si>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</si>
  <si>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</si>
  <si>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</si>
  <si>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</si>
  <si>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</si>
  <si>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</si>
  <si>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</si>
  <si>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</si>
  <si>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</si>
  <si>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</si>
  <si>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</si>
  <si>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</si>
  <si>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</si>
  <si>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</si>
  <si>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</si>
  <si>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</si>
  <si>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</si>
  <si>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</si>
  <si>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</si>
  <si>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</si>
  <si>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</si>
  <si>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</si>
  <si>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</si>
  <si>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</si>
  <si>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</si>
  <si>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</si>
  <si>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</si>
  <si>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</si>
  <si>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</si>
  <si>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</si>
  <si>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</si>
  <si>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</si>
  <si>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</si>
  <si>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</si>
  <si>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</si>
  <si>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</si>
  <si>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</si>
  <si>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</si>
  <si>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</si>
  <si>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</si>
  <si>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</si>
  <si>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</si>
  <si>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</si>
  <si>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</si>
  <si>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</si>
  <si>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</si>
  <si>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</si>
  <si>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</si>
  <si>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</si>
  <si>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</si>
  <si>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</si>
  <si>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</si>
  <si>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</si>
  <si>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</si>
  <si>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</si>
  <si>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</si>
  <si>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</si>
  <si>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</si>
  <si>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</si>
  <si>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</si>
  <si>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</si>
  <si>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</si>
  <si>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</si>
  <si>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</si>
  <si>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</si>
  <si>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</si>
  <si>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</si>
  <si>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</si>
  <si>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</si>
  <si>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</si>
  <si>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</si>
  <si>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</si>
  <si>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</si>
  <si>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</si>
  <si>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</si>
  <si>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</si>
  <si>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</si>
  <si>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</si>
  <si>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</si>
  <si>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</si>
  <si>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</si>
  <si>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</si>
  <si>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</si>
  <si>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</si>
  <si>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</si>
  <si>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</si>
  <si>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</si>
  <si>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</si>
  <si>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</si>
  <si>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</si>
  <si>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</si>
  <si>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</si>
  <si>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</si>
  <si>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</si>
  <si>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</si>
  <si>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</si>
  <si>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</si>
  <si>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</si>
  <si>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</si>
  <si>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</si>
  <si>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</si>
  <si>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</si>
  <si>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</si>
  <si>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</si>
  <si>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</si>
  <si>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</si>
  <si>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</si>
  <si>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</si>
  <si>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</si>
  <si>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</si>
  <si>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</si>
  <si>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</si>
  <si>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</si>
  <si>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</si>
  <si>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</si>
  <si>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</si>
  <si>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</si>
  <si>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</si>
  <si>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</si>
  <si>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</si>
  <si>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</si>
  <si>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</si>
  <si>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</si>
  <si>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</si>
  <si>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</si>
  <si>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</si>
  <si>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</si>
  <si>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</si>
  <si>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</si>
  <si>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</si>
  <si>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</si>
  <si>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</si>
  <si>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</si>
  <si>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</si>
  <si>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</si>
  <si>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</si>
  <si>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</si>
  <si>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</si>
  <si>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</si>
  <si>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</si>
  <si>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</si>
  <si>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</si>
  <si>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</si>
  <si>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</si>
  <si>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</si>
  <si>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</si>
  <si>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</si>
  <si>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</si>
  <si>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</si>
  <si>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</si>
  <si>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</si>
  <si>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</si>
  <si>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</si>
  <si>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</si>
  <si>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</si>
  <si>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</si>
  <si>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</si>
  <si>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</si>
  <si>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</si>
  <si>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</si>
  <si>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</si>
  <si>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</si>
  <si>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</si>
  <si>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</si>
  <si>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</si>
  <si>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</si>
  <si>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</si>
  <si>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</si>
  <si>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</si>
  <si>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</si>
  <si>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</si>
  <si>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</si>
  <si>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</si>
  <si>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</si>
  <si>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</si>
  <si>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</si>
  <si>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</si>
  <si>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</si>
  <si>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</si>
  <si>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</si>
  <si>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</si>
  <si>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</si>
  <si>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</si>
  <si>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</si>
  <si>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</si>
  <si>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</si>
  <si>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</si>
  <si>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</si>
  <si>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</si>
  <si>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</si>
  <si>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</si>
  <si>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</si>
  <si>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</si>
  <si>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</si>
  <si>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</si>
  <si>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</si>
  <si>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</si>
  <si>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</si>
  <si>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</si>
  <si>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</si>
  <si>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</si>
  <si>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</si>
  <si>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</si>
  <si>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</si>
  <si>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</si>
  <si>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</si>
  <si>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</si>
  <si>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</si>
  <si>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</si>
  <si>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</si>
  <si>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</si>
  <si>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</si>
  <si>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</si>
  <si>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</si>
  <si>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</si>
  <si>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</si>
  <si>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</si>
  <si>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</si>
  <si>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</si>
  <si>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</si>
  <si>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</si>
  <si>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</si>
  <si>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</si>
  <si>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</si>
  <si>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</si>
  <si>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</si>
  <si>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</si>
  <si>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</si>
  <si>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</si>
  <si>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</si>
  <si>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</si>
  <si>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</si>
  <si>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</si>
  <si>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</si>
  <si>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</si>
  <si>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</si>
  <si>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</si>
  <si>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</si>
  <si>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</si>
  <si>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</si>
  <si>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</si>
  <si>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</si>
  <si>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</si>
  <si>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</si>
  <si>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</si>
  <si>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</si>
  <si>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</si>
  <si>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</si>
  <si>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</si>
  <si>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</si>
  <si>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</si>
  <si>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</si>
  <si>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</si>
  <si>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</si>
  <si>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</si>
  <si>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</si>
  <si>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</si>
  <si>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</si>
  <si>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</si>
  <si>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</si>
  <si>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</si>
  <si>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</si>
  <si>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</si>
  <si>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</si>
  <si>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</si>
  <si>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</si>
  <si>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</si>
  <si>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</si>
  <si>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</si>
  <si>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</si>
  <si>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</si>
  <si>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</si>
  <si>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</si>
  <si>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</si>
  <si>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</si>
  <si>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</si>
  <si>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</si>
  <si>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</si>
  <si>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</si>
  <si>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</si>
  <si>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</si>
  <si>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</si>
  <si>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</si>
  <si>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</si>
  <si>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</si>
  <si>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</si>
  <si>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</si>
  <si>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</si>
  <si>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</si>
  <si>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</si>
  <si>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</si>
  <si>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</si>
  <si>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</si>
  <si>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</si>
  <si>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</si>
  <si>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</si>
  <si>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</si>
  <si>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</si>
  <si>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</si>
  <si>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</si>
  <si>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</si>
  <si>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</si>
  <si>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</si>
  <si>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</si>
  <si>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</si>
  <si>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</si>
  <si>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</si>
  <si>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</si>
  <si>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</si>
  <si>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</si>
  <si>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</si>
  <si>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</si>
  <si>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</si>
  <si>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</si>
  <si>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</si>
  <si>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</si>
  <si>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</si>
  <si>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</si>
  <si>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</si>
  <si>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</si>
  <si>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</si>
  <si>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</si>
  <si>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</si>
  <si>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</si>
  <si>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</si>
  <si>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</si>
  <si>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</si>
  <si>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</si>
  <si>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</si>
  <si>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</si>
  <si>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</si>
  <si>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</si>
  <si>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</si>
  <si>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</si>
  <si>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</si>
  <si>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</si>
  <si>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</si>
  <si>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</si>
  <si>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</si>
  <si>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</si>
  <si>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</si>
  <si>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</si>
  <si>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</si>
  <si>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</si>
  <si>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</si>
  <si>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</si>
  <si>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</si>
  <si>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</si>
  <si>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</si>
  <si>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</si>
  <si>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</si>
  <si>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</si>
  <si>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</si>
  <si>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</si>
  <si>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</si>
  <si>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</si>
  <si>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</si>
  <si>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</si>
  <si>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</si>
  <si>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</si>
  <si>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</si>
  <si>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</si>
  <si>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</si>
  <si>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</si>
  <si>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</si>
  <si>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</si>
  <si>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</si>
  <si>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</si>
  <si>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</si>
  <si>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</si>
  <si>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</si>
  <si>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</si>
  <si>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</si>
  <si>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</si>
  <si>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</si>
  <si>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</si>
  <si>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</si>
  <si>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</si>
  <si>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</si>
  <si>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</si>
  <si>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</si>
  <si>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</si>
  <si>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</si>
  <si>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</si>
  <si>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</si>
  <si>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</si>
  <si>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</si>
  <si>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</si>
  <si>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</si>
  <si>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</si>
  <si>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</si>
  <si>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</si>
  <si>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</si>
  <si>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</si>
  <si>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</si>
  <si>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</si>
  <si>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</si>
  <si>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</si>
  <si>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</si>
  <si>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</si>
  <si>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</si>
  <si>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</si>
  <si>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</si>
  <si>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</si>
  <si>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</si>
  <si>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</si>
  <si>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</si>
  <si>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</si>
  <si>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</si>
  <si>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</si>
  <si>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</si>
  <si>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</si>
  <si>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</si>
  <si>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</si>
  <si>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</si>
  <si>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</si>
  <si>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</si>
  <si>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</si>
  <si>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</si>
  <si>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</si>
  <si>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</si>
  <si>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</si>
  <si>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</si>
  <si>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</si>
  <si>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</si>
  <si>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</si>
  <si>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</si>
  <si>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</si>
  <si>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</si>
  <si>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</si>
  <si>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</si>
  <si>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</si>
  <si>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</si>
  <si>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</si>
  <si>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</si>
  <si>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</si>
  <si>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</si>
  <si>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</si>
  <si>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</si>
  <si>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</si>
  <si>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</si>
  <si>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</si>
  <si>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</si>
  <si>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</si>
  <si>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</si>
  <si>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</si>
  <si>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</si>
  <si>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</si>
  <si>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</si>
  <si>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</si>
  <si>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</si>
  <si>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</si>
  <si>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</si>
  <si>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</si>
  <si>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</si>
  <si>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</si>
  <si>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</si>
  <si>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</si>
  <si>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</si>
  <si>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</si>
  <si>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</si>
  <si>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</si>
  <si>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</si>
  <si>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</si>
  <si>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</si>
  <si>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</si>
  <si>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</si>
  <si>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</si>
  <si>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</si>
  <si>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</si>
  <si>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</si>
  <si>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</si>
  <si>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</si>
  <si>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</si>
  <si>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</si>
  <si>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</si>
  <si>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</si>
  <si>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</si>
  <si>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</si>
  <si>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</si>
  <si>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</si>
  <si>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</si>
  <si>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</si>
  <si>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</si>
  <si>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</si>
  <si>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</si>
  <si>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</si>
  <si>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</si>
  <si>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</si>
  <si>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</si>
  <si>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</si>
  <si>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</si>
  <si>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</si>
  <si>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</si>
  <si>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</si>
  <si>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</si>
  <si>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</si>
  <si>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</si>
  <si>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</si>
  <si>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</si>
  <si>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</si>
  <si>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</si>
  <si>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</si>
  <si>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</si>
  <si>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</si>
  <si>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</si>
  <si>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</si>
  <si>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</si>
  <si>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</si>
  <si>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</si>
  <si>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</si>
  <si>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</si>
  <si>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</si>
  <si>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</si>
  <si>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</si>
  <si>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</si>
  <si>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</si>
  <si>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</si>
  <si>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</si>
  <si>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</si>
  <si>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</si>
  <si>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</si>
  <si>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</si>
  <si>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</si>
  <si>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</si>
  <si>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</si>
  <si>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</si>
  <si>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</si>
  <si>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</si>
  <si>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</si>
  <si>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</si>
  <si>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</si>
  <si>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</si>
  <si>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</si>
  <si>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</si>
  <si>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</si>
  <si>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</si>
  <si>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</si>
  <si>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</si>
  <si>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</si>
  <si>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</si>
  <si>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</si>
  <si>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</si>
  <si>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</si>
  <si>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</si>
  <si>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</si>
  <si>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</si>
  <si>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</si>
  <si>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</si>
  <si>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</si>
  <si>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</si>
  <si>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</si>
  <si>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</si>
  <si>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</si>
  <si>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</si>
  <si>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</si>
  <si>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</si>
  <si>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</si>
  <si>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</si>
  <si>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</si>
  <si>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</si>
  <si>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</si>
  <si>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</si>
  <si>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</si>
  <si>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</si>
  <si>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</si>
  <si>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</si>
  <si>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</si>
  <si>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</si>
  <si>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</si>
  <si>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</si>
  <si>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</si>
  <si>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</si>
  <si>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</si>
  <si>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</si>
  <si>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</si>
  <si>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</si>
  <si>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</si>
  <si>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</si>
  <si>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</si>
  <si>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</si>
  <si>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</si>
  <si>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</si>
  <si>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</si>
  <si>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</si>
  <si>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</si>
  <si>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</si>
  <si>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</si>
  <si>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</si>
  <si>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</si>
  <si>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</si>
  <si>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</si>
  <si>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</si>
  <si>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</si>
  <si>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</si>
  <si>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</si>
  <si>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</si>
  <si>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</si>
  <si>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</si>
  <si>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</si>
  <si>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</si>
  <si>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</si>
  <si>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</si>
  <si>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</si>
  <si>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</si>
  <si>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</si>
  <si>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</si>
  <si>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</si>
  <si>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</si>
  <si>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</si>
  <si>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</si>
  <si>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</si>
  <si>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</si>
  <si>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</si>
  <si>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</si>
  <si>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</si>
  <si>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</si>
  <si>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</si>
  <si>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</si>
  <si>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</si>
  <si>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</si>
  <si>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</si>
  <si>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</si>
  <si>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</si>
  <si>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</si>
  <si>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</si>
  <si>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</si>
  <si>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</si>
  <si>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</si>
  <si>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</si>
  <si>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</si>
  <si>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</si>
  <si>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</si>
  <si>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</si>
  <si>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</si>
  <si>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</si>
  <si>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</si>
  <si>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</si>
  <si>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</si>
  <si>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</si>
  <si>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</si>
  <si>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</si>
  <si>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</si>
  <si>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</si>
  <si>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</si>
  <si>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</si>
  <si>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</si>
  <si>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</si>
  <si>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</si>
  <si>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</si>
  <si>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</si>
  <si>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</si>
  <si>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</si>
  <si>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</si>
  <si>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</si>
  <si>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</si>
  <si>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</si>
  <si>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</si>
  <si>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</si>
  <si>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</si>
  <si>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</si>
  <si>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</si>
  <si>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</si>
  <si>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</si>
  <si>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</si>
  <si>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</si>
  <si>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</si>
  <si>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</si>
  <si>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</si>
  <si>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</si>
  <si>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</si>
  <si>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</si>
  <si>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</si>
  <si>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</si>
  <si>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</si>
  <si>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</si>
  <si>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</si>
  <si>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</si>
  <si>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</si>
  <si>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</si>
  <si>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</si>
  <si>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</si>
  <si>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</si>
  <si>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</si>
  <si>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</si>
  <si>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</si>
  <si>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</si>
  <si>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</si>
  <si>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</si>
  <si>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</si>
  <si>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</si>
  <si>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</si>
  <si>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</si>
  <si>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</si>
  <si>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</si>
  <si>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</si>
  <si>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</si>
  <si>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</si>
  <si>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</si>
  <si>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</si>
  <si>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</si>
  <si>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</si>
  <si>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</si>
  <si>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</si>
  <si>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</si>
  <si>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</si>
  <si>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</si>
  <si>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</si>
  <si>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</si>
  <si>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</si>
  <si>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</si>
  <si>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</si>
  <si>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</si>
  <si>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</si>
  <si>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</si>
  <si>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</si>
  <si>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</si>
  <si>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</si>
  <si>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</si>
  <si>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</si>
  <si>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</si>
  <si>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</si>
  <si>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</si>
  <si>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</si>
  <si>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</si>
  <si>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</si>
  <si>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</si>
  <si>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</si>
  <si>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</si>
  <si>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</si>
  <si>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</si>
  <si>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</si>
  <si>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</si>
  <si>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</si>
  <si>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</si>
  <si>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</si>
  <si>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</si>
  <si>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</si>
  <si>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</si>
  <si>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</si>
  <si>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</si>
  <si>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</si>
  <si>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</si>
  <si>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</si>
  <si>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</si>
  <si>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</si>
  <si>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</si>
  <si>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</si>
  <si>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</si>
  <si>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</si>
  <si>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</si>
  <si>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</si>
  <si>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</si>
  <si>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</si>
  <si>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</si>
  <si>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</si>
  <si>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</si>
  <si>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</si>
  <si>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</si>
  <si>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</si>
  <si>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</si>
  <si>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</si>
  <si>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</si>
  <si>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</si>
  <si>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</si>
  <si>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</si>
  <si>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</si>
  <si>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</si>
  <si>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</si>
  <si>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</si>
  <si>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</si>
  <si>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</si>
  <si>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</si>
  <si>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</si>
  <si>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</si>
  <si>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</si>
  <si>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</si>
  <si>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</si>
  <si>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</si>
  <si>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</si>
  <si>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</si>
  <si>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</si>
  <si>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</si>
  <si>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</si>
  <si>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</si>
  <si>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</si>
  <si>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</si>
  <si>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</si>
  <si>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</si>
  <si>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</si>
  <si>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</si>
  <si>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</si>
  <si>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</si>
  <si>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</si>
  <si>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</si>
  <si>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</si>
  <si>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</si>
  <si>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</si>
  <si>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</si>
  <si>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</si>
  <si>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</si>
  <si>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</si>
  <si>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</si>
  <si>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</si>
  <si>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</si>
  <si>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</si>
  <si>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</si>
  <si>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</si>
  <si>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</si>
  <si>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</si>
  <si>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</si>
  <si>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</si>
  <si>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</si>
  <si>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</si>
  <si>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</si>
  <si>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</si>
  <si>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</si>
  <si>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</si>
  <si>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</si>
  <si>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</si>
  <si>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</si>
  <si>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</si>
  <si>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</si>
  <si>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</si>
  <si>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</si>
  <si>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</si>
  <si>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</si>
  <si>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</si>
  <si>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</si>
  <si>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</si>
  <si>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</si>
  <si>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</si>
  <si>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</si>
  <si>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</si>
  <si>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</si>
  <si>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</si>
  <si>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</si>
  <si>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</si>
  <si>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</si>
  <si>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</si>
  <si>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</si>
  <si>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</si>
  <si>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</si>
  <si>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</si>
  <si>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</si>
  <si>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</si>
  <si>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</si>
  <si>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</si>
  <si>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</si>
  <si>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</si>
  <si>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</si>
  <si>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</si>
  <si>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</si>
  <si>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</si>
  <si>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</si>
  <si>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</si>
  <si>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</si>
  <si>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</si>
  <si>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</si>
  <si>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</si>
  <si>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</si>
  <si>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</si>
  <si>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</si>
  <si>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</si>
  <si>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</si>
  <si>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</si>
  <si>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</si>
  <si>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</si>
  <si>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</si>
  <si>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</si>
  <si>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</si>
  <si>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</si>
  <si>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</si>
  <si>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</si>
  <si>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</si>
  <si>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</si>
  <si>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</si>
  <si>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</si>
  <si>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</si>
  <si>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</si>
  <si>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</si>
  <si>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</si>
  <si>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</si>
  <si>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</si>
  <si>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</si>
  <si>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</si>
  <si>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</si>
  <si>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</si>
  <si>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</si>
  <si>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</si>
  <si>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</si>
  <si>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</si>
  <si>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</si>
  <si>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</si>
  <si>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</si>
  <si>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</si>
  <si>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</si>
  <si>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</si>
  <si>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</si>
  <si>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</si>
  <si>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</si>
  <si>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</si>
  <si>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</si>
  <si>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</si>
  <si>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</si>
  <si>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</si>
  <si>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</si>
  <si>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</si>
  <si>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</si>
  <si>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</si>
  <si>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</si>
  <si>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</si>
  <si>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</si>
  <si>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</si>
  <si>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</si>
  <si>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</si>
  <si>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</si>
  <si>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</si>
  <si>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</si>
  <si>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</si>
  <si>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</si>
  <si>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</si>
  <si>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</si>
  <si>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</si>
  <si>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</si>
  <si>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</si>
  <si>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</si>
  <si>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</si>
  <si>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</si>
  <si>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</si>
  <si>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</si>
  <si>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</si>
  <si>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</si>
  <si>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</si>
  <si>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</si>
  <si>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</si>
  <si>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</si>
  <si>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</si>
  <si>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</si>
  <si>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</si>
  <si>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</si>
  <si>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</si>
  <si>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</si>
  <si>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</si>
  <si>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</si>
  <si>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</si>
  <si>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</si>
  <si>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</si>
  <si>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</si>
  <si>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</si>
  <si>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</si>
  <si>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</si>
  <si>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</si>
  <si>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</si>
  <si>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</si>
  <si>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</si>
  <si>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</si>
  <si>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</si>
  <si>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</si>
  <si>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</si>
  <si>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</si>
  <si>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</si>
  <si>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</si>
  <si>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</si>
  <si>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</si>
  <si>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</si>
  <si>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</si>
  <si>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</si>
  <si>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</si>
  <si>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</si>
  <si>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</si>
  <si>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</si>
  <si>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</si>
  <si>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</si>
  <si>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</si>
  <si>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</si>
  <si>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</si>
  <si>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</si>
  <si>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</si>
  <si>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</si>
  <si>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</si>
  <si>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</si>
  <si>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</si>
  <si>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</si>
  <si>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</si>
  <si>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</si>
  <si>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</si>
  <si>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</si>
  <si>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</si>
  <si>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</si>
  <si>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</si>
  <si>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</si>
  <si>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</si>
  <si>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</si>
  <si>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</si>
  <si>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</si>
  <si>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</si>
  <si>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</si>
  <si>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</si>
  <si>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</si>
  <si>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</si>
  <si>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</si>
  <si>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</si>
  <si>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</si>
  <si>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</si>
  <si>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</si>
  <si>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</si>
  <si>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</si>
  <si>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</si>
  <si>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</si>
  <si>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</si>
  <si>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</si>
  <si>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</si>
  <si>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</si>
  <si>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</si>
  <si>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</si>
  <si>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</si>
  <si>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</si>
  <si>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</si>
  <si>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</si>
  <si>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</si>
  <si>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</si>
  <si>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</si>
  <si>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</si>
  <si>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</si>
  <si>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</si>
  <si>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</si>
  <si>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</si>
  <si>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</si>
  <si>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</si>
  <si>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</si>
  <si>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</si>
  <si>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</si>
  <si>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</si>
  <si>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</si>
  <si>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</si>
  <si>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</si>
  <si>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</si>
  <si>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</si>
  <si>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</si>
  <si>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</si>
  <si>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</si>
  <si>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</si>
  <si>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</si>
  <si>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</si>
  <si>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</si>
  <si>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</si>
  <si>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</si>
  <si>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</si>
  <si>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</si>
  <si>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</si>
  <si>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</si>
  <si>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</si>
  <si>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</si>
  <si>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</si>
  <si>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</si>
  <si>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</si>
  <si>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</si>
  <si>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</si>
  <si>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</si>
  <si>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</si>
  <si>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</si>
  <si>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</si>
  <si>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</si>
  <si>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</si>
  <si>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</si>
  <si>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</si>
  <si>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</si>
  <si>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</si>
  <si>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</si>
  <si>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</si>
  <si>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</si>
  <si>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</si>
  <si>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</si>
  <si>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</si>
  <si>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</si>
  <si>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</si>
  <si>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</si>
  <si>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</si>
  <si>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</si>
  <si>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</si>
  <si>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</si>
  <si>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</si>
  <si>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</si>
  <si>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</si>
  <si>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</si>
  <si>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</si>
  <si>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</si>
  <si>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</si>
  <si>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</si>
  <si>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</si>
  <si>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</si>
  <si>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</si>
  <si>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</si>
  <si>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</si>
  <si>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</si>
  <si>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</si>
  <si>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</si>
  <si>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</si>
  <si>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</si>
  <si>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</si>
  <si>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</si>
  <si>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</si>
  <si>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</si>
  <si>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</si>
  <si>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</si>
  <si>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</si>
  <si>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</si>
  <si>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</si>
  <si>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</si>
  <si>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</si>
  <si>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</si>
  <si>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</si>
  <si>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</si>
  <si>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</si>
  <si>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</si>
  <si>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</si>
  <si>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</si>
  <si>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</si>
  <si>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</si>
  <si>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</si>
  <si>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</si>
  <si>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</si>
  <si>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</si>
  <si>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</si>
  <si>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</si>
  <si>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</si>
  <si>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</si>
  <si>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</si>
  <si>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</si>
  <si>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</si>
  <si>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</si>
  <si>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</si>
  <si>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</si>
  <si>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</si>
  <si>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</si>
  <si>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</si>
  <si>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</si>
  <si>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</si>
  <si>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</si>
  <si>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</si>
  <si>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</si>
  <si>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</si>
  <si>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</si>
  <si>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</si>
  <si>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</si>
  <si>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</si>
  <si>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</si>
  <si>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</si>
  <si>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</si>
  <si>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</si>
  <si>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</si>
  <si>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</si>
  <si>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</si>
  <si>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</si>
  <si>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</si>
  <si>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</si>
  <si>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</si>
  <si>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</si>
  <si>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</si>
  <si>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</si>
  <si>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</si>
  <si>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</si>
  <si>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</si>
  <si>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</si>
  <si>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</si>
  <si>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</si>
  <si>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</si>
  <si>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</si>
  <si>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</si>
  <si>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</si>
  <si>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</si>
  <si>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</si>
  <si>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</si>
  <si>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</si>
  <si>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</si>
  <si>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</si>
  <si>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</si>
  <si>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</si>
  <si>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</si>
  <si>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</si>
  <si>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</si>
  <si>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</si>
  <si>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</si>
  <si>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</si>
  <si>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</si>
  <si>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</si>
  <si>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</si>
  <si>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</si>
  <si>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</si>
  <si>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</si>
  <si>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</si>
  <si>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</si>
  <si>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</si>
  <si>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</si>
  <si>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</si>
  <si>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</si>
  <si>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</si>
  <si>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</si>
  <si>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</si>
  <si>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</si>
  <si>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</si>
  <si>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</si>
  <si>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</si>
  <si>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</si>
  <si>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</si>
  <si>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</si>
  <si>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</si>
  <si>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</si>
  <si>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</si>
  <si>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</si>
  <si>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</si>
  <si>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</si>
  <si>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</si>
  <si>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</si>
  <si>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</si>
  <si>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</si>
  <si>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</si>
  <si>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</si>
  <si>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</si>
  <si>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</si>
  <si>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</si>
  <si>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</si>
  <si>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</si>
  <si>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</si>
  <si>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</si>
  <si>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</si>
  <si>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</si>
  <si>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</si>
  <si>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</si>
  <si>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</si>
  <si>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</si>
  <si>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</si>
  <si>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</si>
  <si>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</si>
  <si>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</si>
  <si>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</si>
  <si>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</si>
  <si>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</si>
  <si>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</si>
  <si>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</si>
  <si>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</si>
  <si>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</si>
  <si>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</si>
  <si>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</si>
  <si>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</si>
  <si>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</si>
  <si>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</si>
  <si>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</si>
  <si>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</si>
  <si>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</si>
  <si>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</si>
  <si>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</si>
  <si>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</si>
  <si>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</si>
  <si>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</si>
  <si>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</si>
  <si>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</si>
  <si>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</si>
  <si>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</si>
  <si>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</si>
  <si>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</si>
  <si>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</si>
  <si>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</si>
  <si>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</si>
  <si>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</si>
  <si>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</si>
  <si>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</si>
  <si>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</si>
  <si>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</si>
  <si>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</si>
  <si>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</si>
  <si>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</si>
  <si>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</si>
  <si>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</si>
  <si>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</si>
  <si>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</si>
  <si>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</si>
  <si>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</si>
  <si>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</si>
  <si>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</si>
  <si>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</si>
  <si>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</si>
  <si>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</si>
  <si>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</si>
  <si>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</si>
  <si>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</si>
  <si>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</si>
  <si>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</si>
  <si>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</si>
  <si>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</si>
  <si>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</si>
  <si>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</si>
  <si>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</si>
  <si>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</si>
  <si>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</si>
  <si>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</si>
  <si>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</si>
  <si>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</si>
  <si>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</si>
  <si>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</si>
  <si>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</si>
  <si>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</si>
  <si>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</si>
  <si>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</si>
  <si>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</si>
  <si>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</si>
  <si>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</si>
  <si>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</si>
  <si>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</si>
  <si>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</si>
  <si>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</si>
  <si>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</si>
  <si>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</si>
  <si>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</si>
  <si>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</si>
  <si>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</si>
  <si>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</si>
  <si>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</si>
  <si>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</si>
  <si>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</si>
  <si>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</si>
  <si>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</si>
  <si>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</si>
  <si>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</si>
  <si>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</si>
  <si>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</si>
  <si>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</si>
  <si>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</si>
  <si>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</si>
  <si>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</si>
  <si>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</si>
  <si>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</si>
  <si>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</si>
  <si>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</si>
  <si>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</si>
  <si>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</si>
  <si>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</si>
  <si>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</si>
  <si>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</si>
  <si>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</si>
  <si>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</si>
  <si>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</si>
  <si>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</si>
  <si>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</si>
  <si>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</si>
  <si>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</si>
  <si>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</si>
  <si>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</si>
  <si>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</si>
  <si>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</si>
  <si>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</si>
  <si>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</si>
  <si>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</si>
  <si>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</si>
  <si>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</si>
  <si>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</si>
  <si>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</si>
  <si>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</si>
  <si>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</si>
  <si>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</si>
  <si>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</si>
  <si>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</si>
  <si>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</si>
  <si>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</si>
  <si>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</si>
  <si>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</si>
  <si>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</si>
  <si>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</si>
  <si>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</si>
  <si>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</si>
  <si>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</si>
  <si>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</si>
  <si>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</si>
  <si>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</si>
  <si>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</si>
  <si>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</si>
  <si>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</si>
  <si>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</si>
  <si>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</si>
  <si>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</si>
  <si>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</si>
  <si>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</si>
  <si>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</si>
  <si>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</si>
  <si>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</si>
  <si>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</si>
  <si>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</si>
  <si>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</si>
  <si>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</si>
  <si>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</si>
  <si>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</si>
  <si>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</si>
  <si>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</si>
  <si>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</si>
  <si>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</si>
  <si>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</si>
  <si>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</si>
  <si>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</si>
  <si>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</si>
  <si>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</si>
  <si>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</si>
  <si>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</si>
  <si>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</si>
  <si>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</si>
  <si>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</si>
  <si>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</si>
  <si>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</si>
  <si>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</si>
  <si>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</si>
  <si>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</si>
  <si>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</si>
  <si>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</si>
  <si>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</si>
  <si>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</si>
  <si>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</si>
  <si>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</si>
  <si>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</si>
  <si>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</si>
  <si>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</si>
  <si>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</si>
  <si>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</si>
  <si>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</si>
  <si>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</si>
  <si>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</si>
  <si>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</si>
  <si>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</si>
  <si>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</si>
  <si>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</si>
  <si>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</si>
  <si>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</si>
  <si>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</si>
  <si>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</si>
  <si>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</si>
  <si>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</si>
  <si>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</si>
  <si>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</si>
  <si>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</si>
  <si>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</si>
  <si>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</si>
  <si>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</si>
  <si>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</si>
  <si>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</si>
  <si>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</si>
  <si>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</si>
  <si>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</si>
  <si>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</si>
  <si>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</si>
  <si>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</si>
  <si>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</si>
  <si>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</si>
  <si>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</si>
  <si>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</si>
  <si>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</si>
  <si>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</si>
  <si>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</si>
  <si>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</si>
  <si>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</si>
  <si>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</si>
  <si>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</si>
  <si>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</si>
  <si>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</si>
  <si>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</si>
  <si>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</si>
  <si>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</si>
  <si>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</si>
  <si>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</si>
  <si>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</si>
  <si>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</si>
  <si>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</si>
  <si>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</si>
  <si>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</si>
  <si>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</si>
  <si>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</si>
  <si>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</si>
  <si>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</si>
  <si>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</si>
  <si>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</si>
  <si>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</si>
  <si>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</si>
  <si>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</si>
  <si>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</si>
  <si>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</si>
  <si>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</si>
  <si>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</si>
  <si>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</si>
  <si>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</si>
  <si>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</si>
  <si>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</si>
  <si>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</si>
  <si>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</si>
  <si>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</si>
  <si>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</si>
  <si>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</si>
  <si>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</si>
  <si>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</si>
  <si>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</si>
  <si>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</si>
  <si>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</si>
  <si>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</si>
  <si>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</si>
  <si>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</si>
  <si>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</si>
  <si>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</si>
  <si>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</si>
  <si>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</si>
  <si>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</si>
  <si>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</si>
  <si>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</si>
  <si>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</si>
  <si>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</si>
  <si>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</si>
  <si>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</si>
  <si>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</si>
  <si>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</si>
  <si>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</si>
  <si>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</si>
  <si>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</si>
  <si>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</si>
  <si>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</si>
  <si>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</si>
  <si>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</si>
  <si>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</si>
  <si>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</si>
  <si>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</si>
  <si>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</si>
  <si>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</si>
  <si>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</si>
  <si>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</si>
  <si>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</si>
  <si>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</si>
  <si>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</si>
  <si>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</si>
  <si>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</si>
  <si>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</si>
  <si>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</si>
  <si>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</si>
  <si>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</si>
  <si>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</si>
  <si>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</si>
  <si>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</si>
  <si>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</si>
  <si>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</si>
  <si>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</si>
  <si>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</si>
  <si>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</si>
  <si>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</si>
  <si>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</si>
  <si>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</si>
  <si>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</si>
  <si>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</si>
  <si>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</si>
  <si>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</si>
  <si>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</si>
  <si>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</si>
  <si>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</si>
  <si>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</si>
  <si>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</si>
  <si>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</si>
  <si>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</si>
  <si>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</si>
  <si>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</si>
  <si>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</si>
  <si>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</si>
  <si>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</si>
  <si>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</si>
  <si>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</si>
  <si>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</si>
  <si>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</si>
  <si>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</si>
  <si>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</si>
  <si>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</si>
  <si>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</si>
  <si>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</si>
  <si>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</si>
  <si>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</si>
  <si>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</si>
  <si>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</si>
  <si>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</si>
  <si>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</si>
  <si>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</si>
  <si>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</si>
  <si>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</si>
  <si>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</si>
  <si>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</si>
  <si>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</si>
  <si>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</si>
  <si>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</si>
  <si>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</si>
  <si>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</si>
  <si>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</si>
  <si>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</si>
  <si>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</si>
  <si>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</si>
  <si>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</si>
  <si>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</si>
  <si>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</si>
  <si>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</si>
  <si>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</si>
  <si>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</si>
  <si>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</si>
  <si>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</si>
  <si>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</si>
  <si>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</si>
  <si>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</si>
  <si>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</si>
  <si>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</si>
  <si>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</si>
  <si>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</si>
  <si>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</si>
  <si>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</si>
  <si>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</si>
  <si>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</si>
  <si>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</si>
  <si>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</si>
  <si>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</si>
  <si>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</si>
  <si>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</si>
  <si>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</si>
  <si>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</si>
  <si>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</si>
  <si>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</si>
  <si>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</si>
  <si>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</si>
  <si>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</si>
  <si>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</si>
  <si>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</si>
  <si>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</si>
  <si>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</si>
  <si>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</si>
  <si>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</si>
  <si>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</si>
  <si>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</si>
  <si>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</si>
  <si>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</si>
  <si>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</si>
  <si>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</si>
  <si>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</si>
  <si>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</si>
  <si>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</si>
  <si>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</si>
  <si>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</si>
  <si>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</si>
  <si>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</si>
  <si>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</si>
  <si>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</si>
  <si>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</si>
  <si>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</si>
  <si>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</si>
  <si>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</si>
  <si>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</si>
  <si>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</si>
  <si>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</si>
  <si>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</si>
  <si>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</si>
  <si>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</si>
  <si>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</si>
  <si>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</si>
  <si>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</si>
  <si>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</si>
  <si>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</si>
  <si>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</si>
  <si>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</si>
  <si>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</si>
  <si>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</si>
  <si>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</si>
  <si>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</si>
  <si>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</si>
  <si>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</si>
  <si>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</si>
  <si>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</si>
  <si>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</si>
  <si>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</si>
  <si>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</si>
  <si>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</si>
  <si>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</si>
  <si>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</si>
  <si>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</si>
  <si>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</si>
  <si>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</si>
  <si>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</si>
  <si>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</si>
  <si>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</si>
  <si>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</si>
  <si>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</si>
  <si>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</si>
  <si>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</si>
  <si>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</si>
  <si>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</si>
  <si>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</si>
  <si>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</si>
  <si>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</si>
  <si>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</si>
  <si>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</si>
  <si>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</si>
  <si>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</si>
  <si>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</si>
  <si>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</si>
  <si>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</si>
  <si>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</si>
  <si>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</si>
  <si>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</si>
  <si>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</si>
  <si>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</si>
  <si>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</si>
  <si>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</si>
  <si>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</si>
  <si>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</si>
  <si>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</si>
  <si>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</si>
  <si>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</si>
  <si>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</si>
  <si>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</si>
  <si>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</si>
  <si>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</si>
  <si>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</si>
  <si>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</si>
  <si>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</si>
  <si>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</si>
  <si>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</si>
  <si>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</si>
  <si>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</si>
  <si>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</si>
  <si>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</si>
  <si>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</si>
  <si>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</si>
  <si>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</si>
  <si>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</si>
  <si>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</si>
  <si>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</si>
  <si>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</si>
  <si>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</si>
  <si>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</si>
  <si>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</si>
  <si>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</si>
  <si>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</si>
  <si>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</si>
  <si>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</si>
  <si>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</si>
  <si>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</si>
  <si>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</si>
  <si>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</si>
  <si>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</si>
  <si>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</si>
  <si>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</si>
  <si>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</si>
  <si>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</si>
  <si>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</si>
  <si>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</si>
  <si>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</si>
  <si>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</si>
  <si>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</si>
  <si>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</si>
  <si>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</si>
  <si>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</si>
  <si>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</si>
  <si>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</si>
  <si>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</si>
  <si>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</si>
  <si>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</si>
  <si>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</si>
  <si>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</si>
  <si>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</si>
  <si>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</si>
  <si>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</si>
  <si>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</si>
  <si>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</si>
  <si>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</si>
  <si>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</si>
  <si>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</si>
  <si>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</si>
  <si>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</si>
  <si>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</si>
  <si>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</si>
  <si>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</si>
  <si>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</si>
  <si>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</si>
  <si>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</si>
  <si>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</si>
  <si>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</si>
  <si>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</si>
  <si>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</si>
  <si>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</si>
  <si>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</si>
  <si>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</si>
  <si>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</si>
  <si>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</si>
  <si>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</si>
  <si>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</si>
  <si>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</si>
  <si>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</si>
  <si>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</si>
  <si>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</si>
  <si>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</si>
  <si>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</si>
  <si>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</si>
  <si>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</si>
  <si>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</si>
  <si>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</si>
  <si>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</si>
  <si>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</si>
  <si>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</si>
  <si>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</si>
  <si>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</si>
  <si>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</si>
  <si>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</si>
  <si>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</si>
  <si>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</si>
  <si>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</si>
  <si>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</si>
  <si>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</si>
  <si>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</si>
  <si>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</si>
  <si>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</si>
  <si>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</si>
  <si>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</si>
  <si>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</si>
  <si>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</si>
  <si>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</si>
  <si>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</si>
  <si>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</si>
  <si>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</si>
  <si>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</si>
  <si>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</si>
  <si>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</si>
  <si>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</si>
  <si>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</si>
  <si>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</si>
  <si>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</si>
  <si>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</si>
  <si>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</si>
  <si>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</si>
  <si>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</si>
  <si>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</si>
  <si>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</si>
  <si>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</si>
  <si>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</si>
  <si>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</si>
  <si>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</si>
  <si>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</si>
  <si>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</si>
  <si>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</si>
  <si>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</si>
  <si>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</si>
  <si>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</si>
  <si>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</si>
  <si>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</si>
  <si>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</si>
  <si>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</si>
  <si>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</si>
  <si>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</si>
  <si>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</si>
  <si>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</si>
  <si>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</si>
  <si>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</si>
  <si>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</si>
  <si>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</si>
  <si>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</si>
  <si>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</si>
  <si>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</si>
  <si>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</si>
  <si>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</si>
  <si>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</si>
  <si>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</si>
  <si>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</si>
  <si>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</si>
  <si>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</si>
  <si>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</si>
  <si>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</si>
  <si>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</si>
  <si>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</si>
  <si>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</si>
  <si>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</si>
  <si>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</si>
  <si>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</si>
  <si>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</si>
  <si>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</si>
  <si>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</si>
  <si>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</si>
  <si>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</si>
  <si>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</si>
  <si>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</si>
  <si>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</si>
  <si>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</si>
  <si>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</si>
  <si>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</si>
  <si>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</si>
  <si>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</si>
  <si>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</si>
  <si>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</si>
  <si>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</si>
  <si>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</si>
  <si>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</si>
  <si>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</si>
  <si>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</si>
  <si>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</si>
  <si>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</si>
  <si>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</si>
  <si>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</si>
  <si>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</si>
  <si>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</si>
  <si>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</si>
  <si>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</si>
  <si>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</si>
  <si>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</si>
  <si>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</si>
  <si>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</si>
  <si>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</si>
  <si>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</si>
  <si>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</si>
  <si>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</si>
  <si>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</si>
  <si>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</si>
  <si>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</si>
  <si>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</si>
  <si>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</si>
  <si>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</si>
  <si>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</si>
  <si>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</si>
  <si>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</si>
  <si>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</si>
  <si>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</si>
  <si>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</si>
  <si>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</si>
  <si>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</si>
  <si>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</si>
  <si>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</si>
  <si>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</si>
  <si>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</si>
  <si>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</si>
  <si>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</si>
  <si>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</si>
  <si>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</si>
  <si>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</si>
  <si>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</si>
  <si>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</si>
  <si>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</si>
  <si>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</si>
  <si>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</si>
  <si>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</si>
  <si>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</si>
  <si>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</si>
  <si>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</si>
  <si>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</si>
  <si>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</si>
  <si>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</si>
  <si>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</si>
  <si>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</si>
  <si>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</si>
  <si>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</si>
  <si>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</si>
  <si>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</si>
  <si>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</si>
  <si>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</si>
  <si>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</si>
  <si>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</si>
  <si>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</si>
  <si>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</si>
  <si>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</si>
  <si>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</si>
  <si>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</si>
  <si>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</si>
  <si>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</si>
  <si>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</si>
  <si>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</si>
  <si>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</si>
  <si>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</si>
  <si>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</si>
  <si>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</si>
  <si>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</si>
  <si>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</si>
  <si>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</si>
  <si>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</si>
  <si>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</si>
  <si>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</si>
  <si>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</si>
  <si>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</si>
  <si>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</si>
  <si>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</si>
  <si>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</si>
  <si>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</si>
  <si>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</si>
  <si>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</si>
  <si>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</si>
  <si>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</si>
  <si>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</si>
  <si>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</si>
  <si>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</si>
  <si>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</si>
  <si>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</si>
  <si>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</si>
  <si>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</si>
  <si>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</si>
  <si>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</si>
  <si>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</si>
  <si>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</si>
  <si>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</si>
  <si>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</si>
  <si>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</si>
  <si>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</si>
  <si>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</si>
  <si>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</si>
  <si>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</si>
  <si>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</si>
  <si>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</si>
  <si>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</si>
  <si>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</si>
  <si>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</si>
  <si>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</si>
  <si>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</si>
  <si>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</si>
  <si>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</si>
  <si>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</si>
  <si>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</si>
  <si>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</si>
  <si>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</si>
  <si>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</si>
  <si>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</si>
  <si>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</si>
  <si>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</si>
  <si>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</si>
  <si>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</si>
  <si>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</si>
  <si>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</si>
  <si>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</si>
  <si>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</si>
  <si>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</si>
  <si>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</si>
  <si>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</si>
  <si>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</si>
  <si>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</si>
  <si>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</si>
  <si>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</si>
  <si>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</si>
  <si>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</si>
  <si>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</si>
  <si>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</si>
  <si>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</si>
  <si>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</si>
  <si>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</si>
  <si>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</si>
  <si>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</si>
  <si>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</si>
  <si>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</si>
  <si>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</si>
  <si>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</si>
  <si>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</si>
  <si>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</si>
  <si>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</si>
  <si>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</si>
  <si>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</si>
  <si>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</si>
  <si>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</si>
  <si>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</si>
  <si>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</si>
  <si>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</si>
  <si>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</si>
  <si>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</si>
  <si>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</si>
  <si>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</si>
  <si>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</si>
  <si>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</si>
  <si>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</si>
  <si>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</si>
  <si>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</si>
  <si>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</si>
  <si>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</si>
  <si>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</si>
  <si>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</si>
  <si>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</si>
  <si>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</si>
  <si>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</si>
  <si>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</si>
  <si>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</si>
  <si>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</si>
  <si>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</si>
  <si>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</si>
  <si>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</si>
  <si>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</si>
  <si>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</si>
  <si>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</si>
  <si>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</si>
  <si>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</si>
  <si>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</si>
  <si>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</si>
  <si>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</si>
  <si>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</si>
  <si>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</si>
  <si>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</si>
  <si>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</si>
  <si>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</si>
  <si>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</si>
  <si>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</si>
  <si>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</si>
  <si>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</si>
  <si>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</si>
  <si>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</si>
  <si>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</si>
  <si>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</si>
  <si>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</si>
  <si>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</si>
  <si>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</si>
  <si>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</si>
  <si>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</si>
  <si>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</si>
  <si>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</si>
  <si>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</si>
  <si>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</si>
  <si>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</si>
  <si>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</si>
  <si>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</si>
  <si>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</si>
  <si>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</si>
  <si>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</si>
  <si>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</si>
  <si>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</si>
  <si>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</si>
  <si>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</si>
  <si>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</si>
  <si>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</si>
  <si>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</si>
  <si>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</si>
  <si>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</si>
  <si>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</si>
  <si>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</si>
  <si>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</si>
  <si>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</si>
  <si>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</si>
  <si>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</si>
  <si>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</si>
  <si>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</si>
  <si>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</si>
  <si>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</si>
  <si>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</si>
  <si>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</si>
  <si>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</si>
  <si>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</si>
  <si>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</si>
  <si>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</si>
  <si>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</si>
  <si>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</si>
  <si>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</si>
  <si>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</si>
  <si>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</si>
  <si>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</si>
  <si>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</si>
  <si>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</si>
  <si>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</si>
  <si>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</si>
  <si>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</si>
  <si>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</si>
  <si>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</si>
  <si>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</si>
  <si>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</si>
  <si>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</si>
  <si>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</si>
  <si>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</si>
  <si>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</si>
  <si>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</si>
  <si>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</si>
  <si>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</si>
  <si>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</si>
  <si>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</si>
  <si>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</si>
  <si>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</si>
  <si>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</si>
  <si>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</si>
  <si>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</si>
  <si>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</si>
  <si>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</si>
  <si>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</si>
  <si>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</si>
  <si>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</si>
  <si>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</si>
  <si>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</si>
  <si>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</si>
  <si>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</si>
  <si>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</si>
  <si>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</si>
  <si>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</si>
  <si>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</si>
  <si>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</si>
  <si>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</si>
  <si>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</si>
  <si>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</si>
  <si>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</si>
  <si>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</si>
  <si>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</si>
  <si>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</si>
  <si>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</si>
  <si>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</si>
  <si>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</si>
  <si>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</si>
  <si>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</si>
  <si>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</si>
  <si>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</si>
  <si>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</si>
  <si>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</si>
  <si>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</si>
  <si>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</si>
  <si>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</si>
  <si>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</si>
  <si>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</si>
  <si>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</si>
  <si>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</si>
  <si>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</si>
  <si>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</si>
  <si>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</si>
  <si>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</si>
  <si>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</si>
  <si>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</si>
  <si>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</si>
  <si>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</si>
  <si>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</si>
  <si>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</si>
  <si>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</si>
  <si>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</si>
  <si>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</si>
  <si>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</si>
  <si>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</si>
  <si>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</si>
  <si>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</si>
  <si>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</si>
  <si>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</si>
  <si>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</si>
  <si>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</si>
  <si>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</si>
  <si>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</si>
  <si>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</si>
  <si>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</si>
  <si>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</si>
  <si>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</si>
  <si>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</si>
  <si>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</si>
  <si>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</si>
  <si>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</si>
  <si>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</si>
  <si>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</si>
  <si>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</si>
  <si>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</si>
  <si>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</si>
  <si>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</si>
  <si>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</si>
  <si>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</si>
  <si>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</si>
  <si>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</si>
  <si>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</si>
  <si>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</si>
  <si>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</si>
  <si>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</si>
  <si>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</si>
  <si>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</si>
  <si>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</si>
  <si>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</si>
  <si>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</si>
  <si>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</si>
  <si>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</si>
  <si>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</si>
  <si>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</si>
  <si>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</si>
  <si>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</si>
  <si>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</si>
  <si>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</si>
  <si>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</si>
  <si>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</si>
  <si>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</si>
  <si>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</si>
  <si>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</si>
  <si>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</si>
  <si>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</si>
  <si>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</si>
  <si>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</si>
  <si>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</si>
  <si>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</si>
  <si>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</si>
  <si>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</si>
  <si>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</si>
  <si>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</si>
  <si>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</si>
  <si>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</si>
  <si>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</si>
  <si>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</si>
  <si>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</si>
  <si>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</si>
  <si>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</si>
  <si>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</si>
  <si>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</si>
  <si>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</si>
  <si>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</si>
  <si>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</si>
  <si>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</si>
  <si>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</si>
  <si>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</si>
  <si>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</si>
  <si>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</si>
  <si>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</si>
  <si>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</si>
  <si>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</si>
  <si>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</si>
  <si>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</si>
  <si>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</si>
  <si>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</si>
  <si>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</si>
  <si>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</si>
  <si>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</si>
  <si>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</si>
  <si>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</si>
  <si>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</si>
  <si>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</si>
  <si>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</si>
  <si>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</si>
  <si>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</si>
  <si>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</si>
  <si>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</si>
  <si>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</si>
  <si>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</si>
  <si>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</si>
  <si>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</si>
  <si>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</si>
  <si>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</si>
  <si>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</si>
  <si>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</si>
  <si>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</si>
  <si>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</si>
  <si>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</si>
  <si>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</si>
  <si>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</si>
  <si>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</si>
  <si>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</si>
  <si>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</si>
  <si>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</si>
  <si>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</si>
  <si>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</si>
  <si>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</si>
  <si>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</si>
  <si>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</si>
  <si>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</si>
  <si>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</si>
  <si>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</si>
  <si>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</si>
  <si>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</si>
  <si>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</si>
  <si>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</si>
  <si>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</si>
  <si>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</si>
  <si>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</si>
  <si>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</si>
  <si>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</si>
  <si>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</si>
  <si>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</si>
  <si>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</si>
  <si>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</si>
  <si>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</si>
  <si>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</si>
  <si>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</si>
  <si>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</si>
  <si>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</si>
  <si>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</si>
  <si>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</si>
  <si>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</si>
  <si>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</si>
  <si>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</si>
  <si>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</si>
  <si>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</si>
  <si>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</si>
  <si>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</si>
  <si>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</si>
  <si>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</si>
  <si>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</si>
  <si>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</si>
  <si>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</si>
  <si>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</si>
  <si>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</si>
  <si>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</si>
  <si>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</si>
  <si>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</si>
  <si>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</si>
  <si>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</si>
  <si>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</si>
  <si>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</si>
  <si>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</si>
  <si>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</si>
  <si>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</si>
  <si>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</si>
  <si>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</si>
  <si>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</si>
  <si>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</si>
  <si>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</si>
  <si>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</si>
  <si>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</si>
  <si>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</si>
  <si>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</si>
  <si>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</si>
  <si>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</si>
  <si>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</si>
  <si>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</si>
  <si>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</si>
  <si>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</si>
  <si>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</si>
  <si>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</si>
  <si>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</si>
  <si>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</si>
  <si>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</si>
  <si>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</si>
  <si>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</si>
  <si>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</si>
  <si>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</si>
  <si>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</si>
  <si>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</si>
  <si>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</si>
  <si>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</si>
  <si>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</si>
  <si>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</si>
  <si>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</si>
  <si>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</si>
  <si>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</si>
  <si>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</si>
  <si>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</si>
  <si>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</si>
  <si>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</si>
  <si>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</si>
  <si>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</si>
  <si>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</si>
  <si>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</si>
  <si>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</si>
  <si>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</si>
  <si>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</si>
  <si>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</si>
  <si>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</si>
  <si>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</si>
  <si>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</si>
  <si>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</si>
  <si>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</si>
  <si>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</si>
  <si>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</si>
  <si>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</si>
  <si>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</si>
  <si>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</si>
  <si>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</si>
  <si>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</si>
  <si>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</si>
  <si>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</si>
  <si>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</si>
  <si>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</si>
  <si>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</si>
  <si>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</si>
  <si>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</si>
  <si>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</si>
  <si>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</si>
  <si>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</si>
  <si>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</si>
  <si>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</si>
  <si>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</si>
  <si>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</si>
  <si>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</si>
  <si>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</si>
  <si>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</si>
  <si>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</si>
  <si>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</si>
  <si>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</si>
  <si>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</si>
  <si>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</si>
  <si>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</si>
  <si>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</si>
  <si>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</si>
  <si>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</si>
  <si>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</si>
  <si>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</si>
  <si>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</si>
  <si>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</si>
  <si>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</si>
  <si>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</si>
  <si>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</si>
  <si>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</si>
  <si>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</si>
  <si>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</si>
  <si>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</si>
  <si>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</si>
  <si>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</si>
  <si>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</si>
  <si>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</si>
  <si>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</si>
  <si>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</si>
  <si>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</si>
  <si>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</si>
  <si>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</si>
  <si>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</si>
  <si>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</si>
  <si>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</si>
  <si>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</si>
  <si>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</si>
  <si>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</si>
  <si>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</si>
  <si>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</si>
  <si>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</si>
  <si>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</si>
  <si>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</si>
  <si>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</si>
  <si>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</si>
  <si>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</si>
  <si>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</si>
  <si>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</si>
  <si>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</si>
  <si>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</si>
  <si>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</si>
  <si>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</si>
  <si>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</si>
  <si>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</si>
  <si>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</si>
  <si>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</si>
  <si>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</si>
  <si>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</si>
  <si>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</si>
  <si>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</si>
  <si>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</si>
  <si>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</si>
  <si>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</si>
  <si>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</si>
  <si>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</si>
  <si>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</si>
  <si>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</si>
  <si>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</si>
  <si>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</si>
  <si>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</si>
  <si>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</si>
  <si>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</si>
  <si>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</si>
  <si>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</si>
  <si>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</si>
  <si>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</si>
  <si>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</si>
  <si>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</si>
  <si>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</si>
  <si>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</si>
  <si>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</si>
  <si>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</si>
  <si>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</si>
  <si>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</si>
  <si>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</si>
  <si>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</si>
  <si>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</si>
  <si>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</si>
  <si>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</si>
  <si>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</si>
  <si>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</si>
  <si>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</si>
  <si>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</si>
  <si>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</si>
  <si>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</si>
  <si>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</si>
  <si>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</si>
  <si>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</si>
  <si>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</si>
  <si>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</si>
  <si>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</si>
  <si>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</si>
  <si>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</si>
  <si>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</si>
  <si>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</si>
  <si>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</si>
  <si>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</si>
  <si>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</si>
  <si>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</si>
  <si>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</si>
  <si>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</si>
  <si>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</si>
  <si>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</si>
  <si>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</si>
  <si>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</si>
  <si>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</si>
  <si>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</si>
  <si>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</si>
  <si>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</si>
  <si>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</si>
  <si>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</si>
  <si>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</si>
  <si>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</si>
  <si>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</si>
  <si>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</si>
  <si>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</si>
  <si>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</si>
  <si>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</si>
  <si>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</si>
  <si>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</si>
  <si>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</si>
  <si>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</si>
  <si>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</si>
  <si>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</si>
  <si>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</si>
  <si>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</si>
  <si>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</si>
  <si>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</si>
  <si>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</si>
  <si>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</si>
  <si>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</si>
  <si>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</si>
  <si>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</si>
  <si>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</si>
  <si>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</si>
  <si>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</si>
  <si>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</si>
  <si>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</si>
  <si>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</si>
  <si>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</si>
  <si>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</si>
  <si>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</si>
  <si>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</si>
  <si>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</si>
  <si>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</si>
  <si>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</si>
  <si>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</si>
  <si>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</si>
  <si>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</si>
  <si>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</si>
  <si>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</si>
  <si>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</si>
  <si>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</si>
  <si>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</si>
  <si>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</si>
  <si>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</si>
  <si>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</si>
  <si>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</si>
  <si>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</si>
  <si>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</si>
  <si>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</si>
  <si>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</si>
  <si>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</si>
  <si>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</si>
  <si>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</si>
  <si>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</si>
  <si>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</si>
  <si>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</si>
  <si>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</si>
  <si>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</si>
  <si>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</si>
  <si>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</si>
  <si>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</si>
  <si>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</si>
  <si>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</si>
  <si>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</si>
  <si>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</si>
  <si>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</si>
  <si>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</si>
  <si>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</si>
  <si>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</si>
  <si>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</si>
  <si>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</si>
  <si>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</si>
  <si>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</si>
  <si>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</si>
  <si>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</si>
  <si>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</si>
  <si>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</si>
  <si>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</si>
  <si>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</si>
  <si>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</si>
  <si>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</si>
  <si>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</si>
  <si>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</si>
  <si>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</si>
  <si>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</si>
  <si>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</si>
  <si>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</si>
  <si>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</si>
  <si>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</si>
  <si>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</si>
  <si>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</si>
  <si>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</si>
  <si>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</si>
  <si>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</si>
  <si>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</si>
  <si>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</si>
  <si>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</si>
  <si>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</si>
  <si>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</si>
  <si>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</si>
  <si>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</si>
  <si>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</si>
  <si>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</si>
  <si>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</si>
  <si>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</si>
  <si>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</si>
  <si>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</si>
  <si>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</si>
  <si>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</si>
  <si>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</si>
  <si>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</si>
  <si>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</si>
  <si>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</si>
  <si>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</si>
  <si>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</si>
  <si>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</si>
  <si>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</si>
  <si>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</si>
  <si>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</si>
  <si>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</si>
  <si>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</si>
  <si>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</si>
  <si>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</si>
  <si>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</si>
  <si>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</si>
  <si>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</si>
  <si>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</si>
  <si>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</si>
  <si>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</si>
  <si>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</si>
  <si>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</si>
  <si>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</si>
  <si>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</si>
  <si>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</si>
  <si>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</si>
  <si>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</si>
  <si>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</si>
  <si>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</si>
  <si>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</si>
  <si>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</si>
  <si>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</si>
  <si>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</si>
  <si>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</si>
  <si>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</si>
  <si>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</si>
  <si>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</si>
  <si>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</si>
  <si>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</si>
  <si>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</si>
  <si>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</si>
  <si>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</si>
  <si>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</si>
  <si>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</si>
  <si>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</si>
  <si>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</si>
  <si>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</si>
  <si>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</si>
  <si>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</si>
  <si>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</si>
  <si>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</si>
  <si>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</si>
  <si>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</si>
  <si>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</si>
  <si>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</si>
  <si>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</si>
  <si>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</si>
  <si>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</si>
  <si>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</si>
  <si>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</si>
  <si>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</si>
  <si>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</si>
  <si>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</si>
  <si>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</si>
  <si>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</si>
  <si>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</si>
  <si>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</si>
  <si>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</si>
  <si>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</si>
  <si>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</si>
  <si>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</si>
  <si>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</si>
  <si>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</si>
  <si>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</si>
  <si>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</si>
  <si>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</si>
  <si>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</si>
  <si>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</si>
  <si>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</si>
  <si>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</si>
  <si>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</si>
  <si>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</si>
  <si>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</si>
  <si>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</si>
  <si>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</si>
  <si>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</si>
  <si>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</si>
  <si>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</si>
  <si>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</si>
  <si>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</si>
  <si>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</si>
  <si>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</si>
  <si>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</si>
  <si>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</si>
  <si>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</si>
  <si>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</si>
  <si>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</si>
  <si>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</si>
  <si>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</si>
  <si>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</si>
  <si>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</si>
  <si>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</si>
  <si>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</si>
  <si>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</si>
  <si>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</si>
  <si>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</si>
  <si>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</si>
  <si>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</si>
  <si>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</si>
  <si>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</si>
  <si>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</si>
  <si>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</si>
  <si>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</si>
  <si>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</si>
  <si>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</si>
  <si>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</si>
  <si>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</si>
  <si>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</si>
  <si>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</si>
  <si>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</si>
  <si>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</si>
  <si>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</si>
  <si>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</si>
  <si>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</si>
  <si>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</si>
  <si>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</si>
  <si>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</si>
  <si>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</si>
  <si>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</si>
  <si>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</si>
  <si>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</si>
  <si>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</si>
  <si>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</si>
  <si>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</si>
  <si>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</si>
  <si>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</si>
  <si>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</si>
  <si>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</si>
  <si>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</si>
  <si>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</si>
  <si>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</si>
  <si>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</si>
  <si>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</si>
  <si>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</si>
  <si>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</si>
  <si>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</si>
  <si>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</si>
  <si>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</si>
  <si>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</si>
  <si>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</si>
  <si>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</si>
  <si>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</si>
  <si>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</si>
  <si>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</si>
  <si>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</si>
  <si>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</si>
  <si>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</si>
  <si>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</si>
  <si>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</si>
  <si>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</si>
  <si>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</si>
  <si>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</si>
  <si>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</si>
  <si>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</si>
  <si>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</si>
  <si>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</si>
  <si>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</si>
  <si>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</si>
  <si>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</si>
  <si>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</si>
  <si>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</si>
  <si>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</si>
  <si>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</si>
  <si>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</si>
  <si>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</si>
  <si>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</si>
  <si>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</si>
  <si>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</si>
  <si>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</si>
  <si>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</si>
  <si>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</si>
  <si>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</si>
  <si>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</si>
  <si>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</si>
  <si>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</si>
  <si>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</si>
  <si>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</si>
  <si>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</si>
  <si>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</si>
  <si>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</si>
  <si>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</si>
  <si>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</si>
  <si>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</si>
  <si>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</si>
  <si>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</si>
  <si>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</si>
  <si>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</si>
  <si>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</si>
  <si>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</si>
  <si>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</si>
  <si>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</si>
  <si>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</si>
  <si>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</si>
  <si>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</si>
  <si>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</si>
  <si>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</si>
  <si>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</si>
  <si>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</si>
  <si>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</si>
  <si>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</si>
  <si>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</si>
  <si>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</si>
  <si>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</si>
  <si>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</si>
  <si>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</si>
  <si>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</si>
  <si>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</si>
  <si>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</si>
  <si>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</si>
  <si>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</si>
  <si>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</si>
  <si>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</si>
  <si>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</si>
  <si>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</si>
  <si>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</si>
  <si>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</si>
  <si>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</si>
  <si>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</si>
  <si>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</si>
  <si>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</si>
  <si>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</si>
  <si>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</si>
  <si>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</si>
  <si>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</si>
  <si>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</si>
  <si>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</si>
  <si>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</si>
  <si>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</si>
  <si>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</si>
  <si>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</si>
  <si>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</si>
  <si>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</si>
  <si>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</si>
  <si>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</si>
  <si>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</si>
  <si>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</si>
  <si>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</si>
  <si>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</si>
  <si>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</si>
  <si>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</si>
  <si>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</si>
  <si>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</si>
  <si>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</si>
  <si>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</si>
  <si>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</si>
  <si>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</si>
  <si>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</si>
  <si>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</si>
  <si>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</si>
  <si>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</si>
  <si>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</si>
  <si>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</si>
  <si>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</si>
  <si>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</si>
  <si>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</si>
  <si>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</si>
  <si>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</si>
  <si>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</si>
  <si>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</si>
  <si>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</si>
  <si>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</si>
  <si>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</si>
  <si>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</si>
  <si>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</si>
  <si>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</si>
  <si>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</si>
  <si>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</si>
  <si>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</si>
  <si>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</si>
  <si>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</si>
  <si>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</si>
  <si>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</si>
  <si>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</si>
  <si>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</si>
  <si>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</si>
  <si>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</si>
  <si>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</si>
  <si>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</si>
  <si>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</si>
  <si>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</si>
  <si>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</si>
  <si>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</si>
  <si>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</si>
  <si>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</si>
  <si>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</si>
  <si>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</si>
  <si>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</si>
  <si>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</si>
  <si>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</si>
  <si>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</si>
  <si>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</si>
  <si>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</si>
  <si>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</si>
  <si>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</si>
  <si>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</si>
  <si>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</si>
  <si>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</si>
  <si>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</si>
  <si>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</si>
  <si>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</si>
  <si>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</si>
  <si>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</si>
  <si>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</si>
  <si>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</si>
  <si>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</si>
  <si>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</si>
  <si>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</si>
  <si>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</si>
  <si>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</si>
  <si>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</si>
  <si>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</si>
  <si>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</si>
  <si>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</si>
  <si>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</si>
  <si>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</si>
  <si>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</si>
  <si>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</si>
  <si>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</si>
  <si>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</si>
  <si>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</si>
  <si>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</si>
  <si>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</si>
  <si>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</si>
  <si>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</si>
  <si>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</si>
  <si>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</si>
  <si>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</si>
  <si>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</si>
  <si>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</si>
  <si>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</si>
  <si>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</si>
  <si>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</si>
  <si>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</si>
  <si>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</si>
  <si>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</si>
  <si>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</si>
  <si>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</si>
  <si>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</si>
  <si>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</si>
  <si>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</si>
  <si>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</si>
  <si>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</si>
  <si>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</si>
  <si>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</si>
  <si>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</si>
  <si>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</si>
  <si>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</si>
  <si>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</si>
  <si>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</si>
  <si>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</si>
  <si>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</si>
  <si>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</si>
  <si>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</si>
  <si>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</si>
  <si>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</si>
  <si>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</si>
  <si>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</si>
  <si>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</si>
  <si>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</si>
  <si>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</si>
  <si>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</si>
  <si>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</si>
  <si>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</si>
  <si>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</si>
  <si>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</si>
  <si>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</si>
  <si>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</si>
  <si>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</si>
  <si>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</si>
  <si>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</si>
  <si>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</si>
  <si>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</si>
  <si>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</si>
  <si>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</si>
  <si>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</si>
  <si>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</si>
  <si>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</si>
  <si>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</si>
  <si>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</si>
  <si>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</si>
  <si>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</si>
  <si>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</si>
  <si>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</si>
  <si>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</si>
  <si>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</si>
  <si>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</si>
  <si>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</si>
  <si>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</si>
  <si>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</si>
  <si>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</si>
  <si>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</si>
  <si>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</si>
  <si>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</si>
  <si>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</si>
  <si>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</si>
  <si>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</si>
  <si>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</si>
  <si>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</si>
  <si>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</si>
  <si>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</si>
  <si>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</si>
  <si>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</si>
  <si>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</si>
  <si>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</si>
  <si>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</si>
  <si>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</si>
  <si>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</si>
  <si>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</si>
  <si>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</si>
  <si>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</si>
  <si>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</si>
  <si>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</si>
  <si>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</si>
  <si>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</si>
  <si>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</si>
  <si>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</si>
  <si>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</si>
  <si>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</si>
  <si>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</si>
  <si>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</si>
  <si>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</si>
  <si>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</si>
  <si>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</si>
  <si>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</si>
  <si>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</si>
  <si>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</si>
  <si>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</si>
  <si>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</si>
  <si>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</si>
  <si>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</si>
  <si>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</si>
  <si>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</si>
  <si>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</si>
  <si>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</si>
  <si>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</si>
  <si>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</si>
  <si>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</si>
  <si>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</si>
  <si>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</si>
  <si>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</si>
  <si>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</si>
  <si>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</si>
  <si>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</si>
  <si>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</si>
  <si>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</si>
  <si>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</si>
  <si>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</si>
  <si>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</si>
  <si>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</si>
  <si>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</si>
  <si>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</si>
  <si>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</si>
  <si>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</si>
  <si>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</si>
  <si>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</si>
  <si>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</si>
  <si>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</si>
  <si>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</si>
  <si>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</si>
  <si>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</si>
  <si>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</si>
  <si>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</si>
  <si>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</si>
  <si>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</si>
  <si>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</si>
  <si>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</si>
  <si>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</si>
  <si>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</si>
  <si>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</si>
  <si>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</si>
  <si>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</si>
  <si>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</si>
  <si>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</si>
  <si>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</si>
  <si>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</si>
  <si>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</si>
  <si>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</si>
  <si>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</si>
  <si>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</si>
  <si>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</si>
  <si>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</si>
  <si>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</si>
  <si>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</si>
  <si>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</si>
  <si>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</si>
  <si>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</si>
  <si>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</si>
  <si>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</si>
  <si>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</si>
  <si>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</si>
  <si>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</si>
  <si>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</si>
  <si>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</si>
  <si>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</si>
  <si>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</si>
  <si>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</si>
  <si>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</si>
  <si>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</si>
  <si>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</si>
  <si>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</si>
  <si>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</si>
  <si>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</si>
  <si>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</si>
  <si>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</si>
  <si>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</si>
  <si>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</si>
  <si>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</si>
  <si>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</si>
  <si>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</si>
  <si>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</si>
  <si>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</si>
  <si>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</si>
  <si>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</si>
  <si>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</si>
  <si>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</si>
  <si>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</si>
  <si>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</si>
  <si>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</si>
  <si>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</si>
  <si>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</si>
  <si>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</si>
  <si>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</si>
  <si>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</si>
  <si>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</si>
  <si>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</si>
  <si>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</si>
  <si>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</si>
  <si>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</si>
  <si>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</si>
  <si>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</si>
  <si>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</si>
  <si>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</si>
  <si>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</si>
  <si>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</si>
  <si>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</si>
  <si>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</si>
  <si>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</si>
  <si>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</si>
  <si>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</si>
  <si>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</si>
  <si>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</si>
  <si>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</si>
  <si>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</si>
  <si>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</si>
  <si>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</si>
  <si>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</si>
  <si>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</si>
  <si>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</si>
  <si>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</si>
  <si>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</si>
  <si>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</si>
  <si>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</si>
  <si>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</si>
  <si>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</si>
  <si>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</si>
  <si>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</si>
  <si>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</si>
  <si>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</si>
  <si>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</si>
  <si>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</si>
  <si>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</si>
  <si>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</si>
  <si>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</si>
  <si>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</si>
  <si>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</si>
  <si>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</si>
  <si>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</si>
  <si>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</si>
  <si>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</si>
  <si>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</si>
  <si>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</si>
  <si>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</si>
  <si>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</si>
  <si>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</si>
  <si>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</si>
  <si>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</si>
  <si>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</si>
  <si>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</si>
  <si>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</si>
  <si>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</si>
  <si>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</si>
  <si>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</si>
  <si>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</si>
  <si>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</si>
  <si>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</si>
  <si>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</si>
  <si>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</si>
  <si>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</si>
  <si>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</si>
  <si>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</si>
  <si>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</si>
  <si>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</si>
  <si>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</si>
  <si>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</si>
  <si>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</si>
  <si>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</si>
  <si>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</si>
  <si>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</si>
  <si>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</si>
  <si>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</si>
  <si>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</si>
  <si>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</si>
  <si>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</si>
  <si>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</si>
  <si>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</si>
  <si>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</si>
  <si>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</si>
  <si>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</si>
  <si>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</si>
  <si>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</si>
  <si>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</si>
  <si>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</si>
  <si>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</si>
  <si>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</si>
  <si>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</si>
  <si>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</si>
  <si>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</si>
  <si>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</si>
  <si>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</si>
  <si>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</si>
  <si>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</si>
  <si>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</si>
  <si>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</si>
  <si>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</si>
  <si>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</si>
  <si>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</si>
  <si>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</si>
  <si>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</si>
  <si>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</si>
  <si>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</si>
  <si>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</si>
  <si>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</si>
  <si>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</si>
  <si>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</si>
  <si>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</si>
  <si>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</si>
  <si>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</si>
  <si>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</si>
  <si>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</si>
  <si>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</si>
  <si>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</si>
  <si>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</si>
  <si>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</si>
  <si>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</si>
  <si>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</si>
  <si>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</si>
  <si>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</si>
  <si>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</si>
  <si>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</si>
  <si>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</si>
  <si>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</si>
  <si>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</si>
  <si>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</si>
  <si>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</si>
  <si>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</si>
  <si>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</si>
  <si>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</si>
  <si>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</si>
  <si>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</si>
  <si>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</si>
  <si>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</si>
  <si>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</si>
  <si>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</si>
  <si>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</si>
  <si>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</si>
  <si>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</si>
  <si>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</si>
  <si>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</si>
  <si>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</si>
  <si>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</si>
  <si>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</si>
  <si>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</si>
  <si>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</si>
  <si>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</si>
  <si>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</si>
  <si>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</si>
  <si>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</si>
  <si>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</si>
  <si>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</si>
  <si>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</si>
  <si>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</si>
  <si>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</si>
  <si>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</si>
  <si>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</si>
  <si>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</si>
  <si>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</si>
  <si>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</si>
  <si>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</si>
  <si>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</si>
  <si>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</si>
  <si>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</si>
  <si>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</si>
  <si>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</si>
  <si>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</si>
  <si>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</si>
  <si>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</si>
  <si>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</si>
  <si>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</si>
  <si>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</si>
  <si>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</si>
  <si>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</si>
  <si>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</si>
  <si>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</si>
  <si>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</si>
  <si>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</si>
  <si>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</si>
  <si>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</si>
  <si>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</si>
  <si>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</si>
  <si>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</si>
  <si>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</si>
  <si>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</si>
  <si>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</si>
  <si>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</si>
  <si>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</si>
  <si>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</si>
  <si>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</si>
  <si>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</si>
  <si>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</si>
  <si>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</si>
  <si>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</si>
  <si>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</si>
  <si>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</si>
  <si>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</si>
  <si>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</si>
  <si>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</si>
  <si>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</si>
  <si>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</si>
  <si>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</si>
  <si>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</si>
  <si>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</si>
  <si>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</si>
  <si>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</si>
  <si>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</si>
  <si>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</si>
  <si>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</si>
  <si>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</si>
  <si>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</si>
  <si>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</si>
  <si>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</si>
  <si>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</si>
  <si>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</si>
  <si>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</si>
  <si>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</si>
  <si>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</si>
  <si>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</si>
  <si>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</si>
  <si>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</si>
  <si>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</si>
  <si>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</si>
  <si>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</si>
  <si>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</si>
  <si>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</si>
  <si>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</si>
  <si>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</si>
  <si>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</si>
  <si>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</si>
  <si>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</si>
  <si>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</si>
  <si>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</si>
  <si>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</si>
  <si>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</si>
  <si>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</si>
  <si>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</si>
  <si>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</si>
  <si>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</si>
  <si>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</si>
  <si>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</si>
  <si>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</si>
  <si>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</si>
  <si>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</si>
  <si>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</si>
  <si>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</si>
  <si>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</si>
  <si>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</si>
  <si>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</si>
  <si>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</si>
  <si>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</si>
  <si>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</si>
  <si>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</si>
  <si>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</si>
  <si>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</si>
  <si>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</si>
  <si>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</si>
  <si>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</si>
  <si>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</si>
  <si>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</si>
  <si>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</si>
  <si>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</si>
  <si>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</si>
  <si>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</si>
  <si>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</si>
  <si>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</si>
  <si>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</si>
  <si>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</si>
  <si>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</si>
  <si>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</si>
  <si>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</si>
  <si>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</si>
  <si>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</si>
  <si>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</si>
  <si>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</si>
  <si>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</si>
  <si>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</si>
  <si>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</si>
  <si>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</si>
  <si>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</si>
  <si>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</si>
  <si>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</si>
  <si>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</si>
  <si>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</si>
  <si>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</si>
  <si>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</si>
  <si>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</si>
  <si>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</si>
  <si>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</si>
  <si>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</si>
  <si>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</si>
  <si>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</si>
  <si>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</si>
  <si>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</si>
  <si>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</si>
  <si>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</si>
  <si>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</si>
  <si>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</si>
  <si>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</si>
  <si>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</si>
  <si>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</si>
  <si>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</si>
  <si>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</si>
  <si>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</si>
  <si>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</si>
  <si>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</si>
  <si>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</si>
  <si>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</si>
  <si>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</si>
  <si>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</si>
  <si>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</si>
  <si>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</si>
  <si>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</si>
  <si>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</si>
  <si>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</si>
  <si>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</si>
  <si>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</si>
  <si>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</si>
  <si>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</si>
  <si>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</si>
  <si>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</si>
  <si>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</si>
  <si>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</si>
  <si>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</si>
  <si>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</si>
  <si>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</si>
  <si>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</si>
  <si>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</si>
  <si>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</si>
  <si>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</si>
  <si>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</si>
  <si>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</si>
  <si>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</si>
  <si>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</si>
  <si>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</si>
  <si>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</si>
  <si>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</si>
  <si>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</si>
  <si>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</si>
  <si>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</si>
  <si>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</si>
  <si>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</si>
  <si>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</si>
  <si>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</si>
  <si>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</si>
  <si>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</si>
  <si>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</si>
  <si>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</si>
  <si>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</si>
  <si>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</si>
  <si>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</si>
  <si>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</si>
  <si>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</si>
  <si>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</si>
  <si>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</si>
  <si>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</si>
  <si>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</si>
  <si>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</si>
  <si>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</si>
  <si>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</si>
  <si>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</si>
  <si>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</si>
  <si>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</si>
  <si>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</si>
  <si>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</si>
  <si>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</si>
  <si>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</si>
  <si>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</si>
  <si>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</si>
  <si>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</si>
  <si>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</si>
  <si>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</si>
  <si>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</si>
  <si>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</si>
  <si>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</si>
  <si>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</si>
  <si>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</si>
  <si>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</si>
  <si>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</si>
  <si>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</si>
  <si>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</si>
  <si>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</si>
  <si>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</si>
  <si>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</si>
  <si>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</si>
  <si>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</si>
  <si>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</si>
  <si>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</si>
  <si>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</si>
  <si>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</si>
  <si>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</si>
  <si>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</si>
  <si>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</si>
  <si>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</si>
  <si>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</si>
  <si>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</si>
  <si>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</si>
  <si>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</si>
  <si>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</si>
  <si>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</si>
  <si>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</si>
  <si>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</si>
  <si>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</si>
  <si>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</si>
  <si>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</si>
  <si>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</si>
  <si>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</si>
  <si>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</si>
  <si>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</si>
  <si>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</si>
  <si>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</si>
  <si>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</si>
  <si>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</si>
  <si>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</si>
  <si>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</si>
  <si>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</si>
  <si>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</si>
  <si>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</si>
  <si>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</si>
  <si>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</si>
  <si>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</si>
  <si>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</si>
  <si>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</si>
  <si>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</si>
  <si>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</si>
  <si>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</si>
  <si>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</si>
  <si>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</si>
  <si>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</si>
  <si>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</si>
  <si>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</si>
  <si>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</si>
  <si>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</si>
  <si>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</si>
  <si>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</si>
  <si>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</si>
  <si>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</si>
  <si>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</si>
  <si>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</si>
  <si>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</si>
  <si>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</si>
  <si>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</si>
  <si>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</si>
  <si>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</si>
  <si>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</si>
  <si>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</si>
  <si>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</si>
  <si>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</si>
  <si>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</si>
  <si>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</si>
  <si>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</si>
  <si>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</si>
  <si>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</si>
  <si>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</si>
  <si>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</si>
  <si>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</si>
  <si>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</si>
  <si>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</si>
  <si>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</si>
  <si>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</si>
  <si>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</si>
  <si>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</si>
  <si>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</si>
  <si>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</si>
  <si>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</si>
  <si>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</si>
  <si>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</si>
  <si>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</si>
  <si>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</si>
  <si>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</si>
  <si>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</si>
  <si>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</si>
  <si>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</si>
  <si>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</si>
  <si>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</si>
  <si>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</si>
  <si>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</si>
  <si>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</si>
  <si>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</si>
  <si>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</si>
  <si>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</si>
  <si>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</si>
  <si>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</si>
  <si>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</si>
  <si>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</si>
  <si>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</si>
  <si>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</si>
  <si>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</si>
  <si>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</si>
  <si>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</si>
  <si>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</si>
  <si>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</si>
  <si>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</si>
  <si>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</si>
  <si>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</si>
  <si>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</si>
  <si>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</si>
  <si>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</si>
  <si>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</si>
  <si>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</si>
  <si>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</si>
  <si>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</si>
  <si>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</si>
  <si>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</si>
  <si>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</si>
  <si>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</si>
  <si>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</si>
  <si>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</si>
  <si>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</si>
  <si>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</si>
  <si>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</si>
  <si>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</si>
  <si>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</si>
  <si>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</si>
  <si>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</si>
  <si>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</si>
  <si>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</si>
  <si>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</si>
  <si>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</si>
  <si>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</si>
  <si>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</si>
  <si>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</si>
  <si>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</si>
  <si>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</si>
  <si>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</si>
  <si>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</si>
  <si>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</si>
  <si>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</si>
  <si>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</si>
  <si>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</si>
  <si>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</si>
  <si>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</si>
  <si>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</si>
  <si>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</si>
  <si>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</si>
  <si>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</si>
  <si>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</si>
  <si>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</si>
  <si>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</si>
  <si>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</si>
  <si>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</si>
  <si>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</si>
  <si>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</si>
  <si>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</si>
  <si>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</si>
  <si>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</si>
  <si>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</si>
  <si>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</si>
  <si>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</si>
  <si>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</si>
  <si>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</si>
  <si>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</si>
  <si>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</si>
  <si>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</si>
  <si>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</si>
  <si>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</si>
  <si>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</si>
  <si>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</si>
  <si>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</si>
  <si>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</si>
  <si>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</si>
  <si>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</si>
  <si>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</si>
  <si>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</si>
  <si>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</si>
  <si>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</si>
  <si>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</si>
  <si>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</si>
  <si>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</si>
  <si>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</si>
  <si>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</si>
  <si>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</si>
  <si>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</si>
  <si>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</si>
  <si>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</si>
  <si>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</si>
  <si>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</si>
  <si>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</si>
  <si>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</si>
  <si>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</si>
  <si>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</si>
  <si>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</si>
  <si>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</si>
  <si>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</si>
  <si>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</si>
  <si>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</si>
  <si>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</si>
  <si>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</si>
  <si>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</si>
  <si>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</si>
  <si>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</si>
  <si>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</si>
  <si>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</si>
  <si>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</si>
  <si>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</si>
  <si>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</si>
  <si>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</si>
  <si>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</si>
  <si>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</si>
  <si>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</si>
  <si>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</si>
  <si>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</si>
  <si>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</si>
  <si>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</si>
  <si>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</si>
  <si>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</si>
  <si>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</si>
  <si>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</si>
  <si>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</si>
  <si>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</si>
  <si>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</si>
  <si>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</si>
  <si>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</si>
  <si>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</si>
  <si>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</si>
  <si>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</si>
  <si>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</si>
  <si>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</si>
  <si>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</si>
  <si>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</si>
  <si>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</si>
  <si>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</si>
  <si>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</si>
  <si>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</si>
  <si>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</si>
  <si>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</si>
  <si>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</si>
  <si>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</si>
  <si>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</si>
  <si>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</si>
  <si>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</si>
  <si>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</si>
  <si>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</si>
  <si>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</si>
  <si>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</si>
  <si>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</si>
  <si>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</si>
  <si>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</si>
  <si>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</si>
  <si>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</si>
  <si>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</si>
  <si>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</si>
  <si>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</si>
  <si>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</si>
  <si>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</si>
  <si>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</si>
  <si>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</si>
  <si>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</si>
  <si>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</si>
  <si>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</si>
  <si>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</si>
  <si>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</si>
  <si>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</si>
  <si>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</si>
  <si>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</si>
  <si>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</si>
  <si>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</si>
  <si>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</si>
  <si>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</si>
  <si>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</si>
  <si>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</si>
  <si>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</si>
  <si>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</si>
  <si>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</si>
  <si>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</si>
  <si>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</si>
  <si>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</si>
  <si>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</si>
  <si>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</si>
  <si>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</si>
  <si>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</si>
  <si>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</si>
  <si>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</si>
  <si>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</si>
  <si>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</si>
  <si>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</si>
  <si>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</si>
  <si>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</si>
  <si>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</si>
  <si>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</si>
  <si>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</si>
  <si>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</si>
  <si>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</si>
  <si>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</si>
  <si>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</si>
  <si>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</si>
  <si>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</si>
  <si>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</si>
  <si>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</si>
  <si>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</si>
  <si>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</si>
  <si>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</si>
  <si>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</si>
  <si>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</si>
  <si>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</si>
  <si>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</si>
  <si>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</si>
  <si>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</si>
  <si>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</si>
  <si>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</si>
  <si>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</si>
  <si>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</si>
  <si>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</si>
  <si>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</si>
  <si>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</si>
  <si>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</si>
  <si>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</si>
  <si>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</si>
  <si>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</si>
  <si>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</si>
  <si>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</si>
  <si>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</si>
  <si>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</si>
  <si>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</si>
  <si>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</si>
  <si>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</si>
  <si>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</si>
  <si>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</si>
  <si>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</si>
  <si>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</si>
  <si>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</si>
  <si>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</si>
  <si>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</si>
  <si>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</si>
  <si>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</si>
  <si>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</si>
  <si>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</si>
  <si>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</si>
  <si>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</si>
  <si>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</si>
  <si>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</si>
  <si>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</si>
  <si>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</si>
  <si>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</si>
  <si>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</si>
  <si>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</si>
  <si>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</si>
  <si>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</si>
  <si>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</si>
  <si>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</si>
  <si>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</si>
  <si>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</si>
  <si>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</si>
  <si>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</si>
  <si>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</si>
  <si>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</si>
  <si>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</si>
  <si>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</si>
  <si>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</si>
  <si>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</si>
  <si>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</si>
  <si>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</si>
  <si>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</si>
  <si>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</si>
  <si>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</si>
  <si>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</si>
  <si>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</si>
  <si>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</si>
  <si>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</si>
  <si>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</si>
  <si>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</si>
  <si>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</si>
  <si>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</si>
  <si>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</si>
  <si>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</si>
  <si>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</si>
  <si>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</si>
  <si>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</si>
  <si>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</si>
  <si>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</si>
  <si>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</si>
  <si>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</si>
  <si>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</si>
  <si>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</si>
  <si>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</si>
  <si>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</si>
  <si>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</si>
  <si>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</si>
  <si>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</si>
  <si>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</si>
  <si>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</si>
  <si>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</si>
  <si>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</si>
  <si>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</si>
  <si>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</si>
  <si>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</si>
  <si>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</si>
  <si>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</si>
  <si>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</si>
  <si>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</si>
  <si>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</si>
  <si>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</si>
  <si>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</si>
  <si>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</si>
  <si>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</si>
  <si>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</si>
  <si>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</si>
  <si>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</si>
  <si>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</si>
  <si>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</si>
  <si>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</si>
  <si>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</si>
  <si>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</si>
  <si>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</si>
  <si>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</si>
  <si>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</si>
  <si>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</si>
  <si>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</si>
  <si>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</si>
  <si>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</si>
  <si>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</si>
  <si>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</si>
  <si>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</si>
  <si>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</si>
  <si>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</si>
  <si>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</si>
  <si>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</si>
  <si>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</si>
  <si>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</si>
  <si>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</si>
  <si>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</si>
  <si>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</si>
  <si>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</si>
  <si>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</si>
  <si>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</si>
  <si>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</si>
  <si>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</si>
  <si>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</si>
  <si>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</si>
  <si>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</si>
  <si>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</si>
  <si>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</si>
  <si>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</si>
  <si>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</si>
  <si>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</si>
  <si>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</si>
  <si>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</si>
  <si>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</si>
  <si>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</si>
  <si>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</si>
  <si>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</si>
  <si>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</si>
  <si>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</si>
  <si>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</si>
  <si>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</si>
  <si>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</si>
  <si>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</si>
  <si>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</si>
  <si>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</si>
  <si>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</si>
  <si>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</si>
  <si>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</si>
  <si>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</si>
  <si>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</si>
  <si>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</si>
  <si>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</si>
  <si>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</si>
  <si>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</si>
  <si>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</si>
  <si>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</si>
  <si>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</si>
  <si>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</si>
  <si>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</si>
  <si>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</si>
  <si>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</si>
  <si>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</si>
  <si>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</si>
  <si>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</si>
  <si>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</si>
  <si>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</si>
  <si>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</si>
  <si>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</si>
  <si>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</si>
  <si>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</si>
  <si>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</si>
  <si>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</si>
  <si>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</si>
  <si>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</si>
  <si>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</si>
  <si>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</si>
  <si>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</si>
  <si>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</si>
  <si>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</si>
  <si>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</si>
  <si>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</si>
  <si>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</si>
  <si>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</si>
  <si>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</si>
  <si>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</si>
  <si>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</si>
  <si>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</si>
  <si>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</si>
  <si>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</si>
  <si>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</si>
  <si>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</si>
  <si>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</si>
  <si>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</si>
  <si>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</si>
  <si>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</si>
  <si>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</si>
  <si>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</si>
  <si>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</si>
  <si>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</si>
  <si>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</si>
  <si>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</si>
  <si>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</si>
  <si>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</si>
  <si>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</si>
  <si>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</si>
  <si>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</si>
  <si>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</si>
  <si>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</si>
  <si>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</si>
  <si>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</si>
  <si>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</si>
  <si>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</si>
  <si>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</si>
  <si>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</si>
  <si>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</si>
  <si>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</si>
  <si>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</si>
  <si>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</si>
  <si>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</si>
  <si>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</si>
  <si>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</si>
  <si>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</si>
  <si>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</si>
  <si>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</si>
  <si>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</si>
  <si>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</si>
  <si>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</si>
  <si>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</si>
  <si>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</si>
  <si>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</si>
  <si>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</si>
  <si>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</si>
  <si>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</si>
  <si>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</si>
  <si>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</si>
  <si>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</si>
  <si>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</si>
  <si>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</si>
  <si>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</si>
  <si>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</si>
  <si>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</si>
  <si>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</si>
  <si>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</si>
  <si>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</si>
  <si>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</si>
  <si>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</si>
  <si>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</si>
  <si>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</si>
  <si>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</si>
  <si>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</si>
  <si>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</si>
  <si>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</si>
  <si>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</si>
  <si>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</si>
  <si>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</si>
  <si>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</si>
  <si>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</si>
  <si>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</si>
  <si>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</si>
  <si>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</si>
  <si>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</si>
  <si>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</si>
  <si>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</si>
  <si>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</si>
  <si>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</si>
  <si>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</si>
  <si>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</si>
  <si>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</si>
  <si>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</si>
  <si>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</si>
  <si>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</si>
  <si>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</si>
  <si>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</si>
  <si>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</si>
  <si>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</si>
  <si>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</si>
  <si>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</si>
  <si>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</si>
  <si>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</si>
  <si>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</si>
  <si>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</si>
  <si>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</si>
  <si>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</si>
  <si>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</si>
  <si>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</si>
  <si>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</si>
  <si>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</si>
  <si>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</si>
  <si>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</si>
  <si>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</si>
  <si>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</si>
  <si>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</si>
  <si>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</si>
  <si>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</si>
  <si>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</si>
  <si>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</si>
  <si>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</si>
  <si>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</si>
  <si>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</si>
  <si>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</si>
  <si>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</si>
  <si>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</si>
  <si>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</si>
  <si>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</si>
  <si>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</si>
  <si>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</si>
  <si>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</si>
  <si>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</si>
  <si>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</si>
  <si>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</si>
  <si>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</si>
  <si>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</si>
  <si>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</si>
  <si>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</si>
  <si>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</si>
  <si>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</si>
  <si>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</si>
  <si>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</si>
  <si>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</si>
  <si>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</si>
  <si>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</si>
  <si>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</si>
  <si>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</si>
  <si>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</si>
  <si>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</si>
  <si>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</si>
  <si>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</si>
  <si>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</si>
  <si>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</si>
  <si>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</si>
  <si>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</si>
  <si>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</si>
  <si>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</si>
  <si>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</si>
  <si>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</si>
  <si>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</si>
  <si>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</si>
  <si>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</si>
  <si>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</si>
  <si>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</si>
  <si>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</si>
  <si>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</si>
  <si>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</si>
  <si>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</si>
  <si>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</si>
  <si>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</si>
  <si>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</si>
  <si>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</si>
  <si>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</si>
  <si>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</si>
  <si>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</si>
  <si>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</si>
  <si>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</si>
  <si>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</si>
  <si>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</si>
  <si>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</si>
  <si>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</si>
  <si>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</si>
  <si>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</si>
  <si>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</si>
  <si>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</si>
  <si>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</si>
  <si>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</si>
  <si>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</si>
  <si>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</si>
  <si>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</si>
  <si>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</si>
  <si>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</si>
  <si>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</si>
  <si>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</si>
  <si>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</si>
  <si>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</si>
  <si>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</si>
  <si>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</si>
  <si>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</si>
  <si>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</si>
  <si>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</si>
  <si>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</si>
  <si>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</si>
  <si>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</si>
  <si>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</si>
  <si>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</si>
  <si>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</si>
  <si>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</si>
  <si>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</si>
  <si>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</si>
  <si>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</si>
  <si>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</si>
  <si>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</si>
  <si>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</si>
  <si>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</si>
  <si>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</si>
  <si>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</si>
  <si>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</si>
  <si>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</si>
  <si>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</si>
  <si>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</si>
  <si>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</si>
  <si>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</si>
  <si>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</si>
  <si>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</si>
  <si>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</si>
  <si>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</si>
  <si>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</si>
  <si>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</si>
  <si>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</si>
  <si>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</si>
  <si>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</si>
  <si>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</si>
  <si>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</si>
  <si>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</si>
  <si>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</si>
  <si>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</si>
  <si>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</si>
  <si>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</si>
  <si>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</si>
  <si>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</si>
  <si>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</si>
  <si>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</si>
  <si>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</si>
  <si>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</si>
  <si>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</si>
  <si>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</si>
  <si>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</si>
  <si>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</si>
  <si>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</si>
  <si>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</si>
  <si>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</si>
  <si>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</si>
  <si>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</si>
  <si>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</si>
  <si>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</si>
  <si>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</si>
  <si>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</si>
  <si>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</si>
  <si>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</si>
  <si>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</si>
  <si>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</si>
  <si>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</si>
  <si>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</si>
  <si>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</si>
  <si>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</si>
  <si>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</si>
  <si>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</si>
  <si>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</si>
  <si>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</si>
  <si>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</si>
  <si>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</si>
  <si>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</si>
  <si>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</si>
  <si>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</si>
  <si>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</si>
  <si>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</si>
  <si>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</si>
  <si>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</si>
  <si>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</si>
  <si>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</si>
  <si>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</si>
  <si>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</si>
  <si>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</si>
  <si>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</si>
  <si>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</si>
  <si>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</si>
  <si>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</si>
  <si>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</si>
  <si>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</si>
  <si>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</si>
  <si>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</si>
  <si>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</si>
  <si>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</si>
  <si>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</si>
  <si>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</si>
  <si>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</si>
  <si>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</si>
  <si>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</si>
  <si>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</si>
  <si>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</si>
  <si>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</si>
  <si>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</si>
  <si>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</si>
  <si>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</si>
  <si>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</si>
  <si>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</si>
  <si>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</si>
  <si>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</si>
  <si>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</si>
  <si>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</si>
  <si>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</si>
  <si>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</si>
  <si>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</si>
  <si>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</si>
  <si>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</si>
  <si>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</si>
  <si>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</si>
  <si>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</si>
  <si>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</si>
  <si>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</si>
  <si>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</si>
  <si>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</si>
  <si>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</si>
  <si>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</si>
  <si>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</si>
  <si>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</si>
  <si>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</si>
  <si>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</si>
  <si>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</si>
  <si>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</si>
  <si>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</si>
  <si>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</si>
  <si>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</si>
  <si>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</si>
  <si>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</si>
  <si>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</si>
  <si>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</si>
  <si>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</si>
  <si>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</si>
  <si>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</si>
  <si>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</si>
  <si>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</si>
  <si>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</si>
  <si>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</si>
  <si>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</si>
  <si>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</si>
  <si>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</si>
  <si>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</si>
  <si>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</si>
  <si>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</si>
  <si>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</si>
  <si>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</si>
  <si>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</si>
  <si>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</si>
  <si>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</si>
  <si>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</si>
  <si>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</si>
  <si>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</si>
  <si>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</si>
  <si>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</si>
  <si>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</si>
  <si>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</si>
  <si>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</si>
  <si>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</si>
  <si>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</si>
  <si>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</si>
  <si>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</si>
  <si>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</si>
  <si>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</si>
  <si>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</si>
  <si>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</si>
  <si>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</si>
  <si>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</si>
  <si>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</si>
  <si>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</si>
  <si>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</si>
  <si>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</si>
  <si>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</si>
  <si>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</si>
  <si>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</si>
  <si>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</si>
  <si>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</si>
  <si>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</si>
  <si>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</si>
  <si>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</si>
  <si>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</si>
  <si>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</si>
  <si>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</si>
  <si>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</si>
  <si>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</si>
  <si>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</si>
  <si>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</si>
  <si>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</si>
  <si>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</si>
  <si>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</si>
  <si>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</si>
  <si>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</si>
  <si>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</si>
  <si>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</si>
  <si>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</si>
  <si>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</si>
  <si>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</si>
  <si>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</si>
  <si>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</si>
  <si>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</si>
  <si>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</si>
  <si>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</si>
  <si>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</si>
  <si>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</si>
  <si>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</si>
  <si>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</si>
  <si>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</si>
  <si>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</si>
  <si>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</si>
  <si>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</si>
  <si>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</si>
  <si>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</si>
  <si>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</si>
  <si>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</si>
  <si>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</si>
  <si>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</si>
  <si>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</si>
  <si>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</si>
  <si>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</si>
  <si>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</si>
  <si>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</si>
  <si>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</si>
  <si>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</si>
  <si>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</si>
  <si>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</si>
  <si>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</si>
  <si>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</si>
  <si>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</si>
  <si>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</si>
  <si>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</si>
  <si>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</si>
  <si>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</si>
  <si>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</si>
  <si>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</si>
  <si>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</si>
  <si>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</si>
  <si>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</si>
  <si>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</si>
  <si>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</si>
  <si>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</si>
  <si>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</si>
  <si>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</si>
  <si>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</si>
  <si>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</si>
  <si>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</si>
  <si>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</si>
  <si>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</si>
  <si>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</si>
  <si>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</si>
  <si>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</si>
  <si>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</si>
  <si>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</si>
  <si>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</si>
  <si>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</si>
  <si>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</si>
  <si>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</si>
  <si>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</si>
  <si>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</si>
  <si>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</si>
  <si>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</si>
  <si>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</si>
  <si>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</si>
  <si>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</si>
  <si>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</si>
  <si>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</si>
  <si>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</si>
  <si>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</si>
  <si>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</si>
  <si>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</si>
  <si>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</si>
  <si>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</si>
  <si>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</si>
  <si>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</si>
  <si>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</si>
  <si>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</si>
  <si>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</si>
  <si>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</si>
  <si>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</si>
  <si>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</si>
  <si>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</si>
  <si>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</si>
  <si>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</si>
  <si>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</si>
  <si>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</si>
  <si>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</si>
  <si>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</si>
  <si>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</si>
  <si>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</si>
  <si>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</si>
  <si>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</si>
  <si>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</si>
  <si>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</si>
  <si>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</si>
  <si>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</si>
  <si>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</si>
  <si>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</si>
  <si>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</si>
  <si>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</si>
  <si>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</si>
  <si>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</si>
  <si>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</si>
  <si>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</si>
  <si>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</si>
  <si>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</si>
  <si>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</si>
  <si>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</si>
  <si>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</si>
  <si>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</si>
  <si>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</si>
  <si>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</si>
  <si>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</si>
  <si>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</si>
  <si>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</si>
  <si>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</si>
  <si>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</si>
  <si>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</si>
  <si>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</si>
  <si>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</si>
  <si>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</si>
  <si>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</si>
  <si>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</si>
  <si>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</si>
  <si>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</si>
  <si>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</si>
  <si>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</si>
  <si>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</si>
  <si>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</si>
  <si>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</si>
  <si>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</si>
  <si>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</si>
  <si>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</si>
  <si>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</si>
  <si>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</si>
  <si>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</si>
  <si>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</si>
  <si>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</si>
  <si>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</si>
  <si>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</si>
  <si>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</si>
  <si>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</si>
  <si>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</si>
  <si>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</si>
  <si>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</si>
  <si>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</si>
  <si>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</si>
  <si>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</si>
  <si>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</si>
  <si>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</si>
  <si>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</si>
  <si>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</si>
  <si>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</si>
  <si>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</si>
  <si>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</si>
  <si>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</si>
  <si>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</si>
  <si>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</si>
  <si>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</si>
  <si>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</si>
  <si>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</si>
  <si>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</si>
  <si>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</si>
  <si>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</si>
  <si>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</si>
  <si>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</si>
  <si>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</si>
  <si>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</si>
  <si>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</si>
  <si>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</si>
  <si>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</si>
  <si>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</si>
  <si>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</si>
  <si>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</si>
  <si>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</si>
  <si>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</si>
  <si>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</si>
  <si>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</si>
  <si>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</si>
  <si>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</si>
  <si>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</si>
  <si>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</si>
  <si>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</si>
  <si>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</si>
  <si>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</si>
  <si>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</si>
  <si>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</si>
  <si>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</si>
  <si>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</si>
  <si>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</si>
  <si>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</si>
  <si>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</si>
  <si>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</si>
  <si>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</si>
  <si>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</si>
  <si>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</si>
  <si>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</si>
  <si>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</si>
  <si>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</si>
  <si>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</si>
  <si>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</si>
  <si>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</si>
  <si>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</si>
  <si>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</si>
  <si>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</si>
  <si>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</si>
  <si>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</si>
  <si>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</si>
  <si>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</si>
  <si>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</si>
  <si>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</si>
  <si>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</si>
  <si>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</si>
  <si>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</si>
  <si>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</si>
  <si>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</si>
  <si>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</si>
  <si>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</si>
  <si>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</si>
  <si>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</si>
  <si>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</si>
  <si>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</si>
  <si>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</si>
  <si>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</si>
  <si>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</si>
  <si>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</si>
  <si>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</si>
  <si>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</si>
  <si>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</si>
  <si>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</si>
  <si>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</si>
  <si>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</si>
  <si>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</si>
  <si>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</si>
  <si>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</si>
  <si>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</si>
  <si>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</si>
  <si>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</si>
  <si>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</si>
  <si>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</si>
  <si>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</si>
  <si>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</si>
  <si>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</si>
  <si>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</si>
  <si>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</si>
  <si>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</si>
  <si>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</si>
  <si>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</si>
  <si>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</si>
  <si>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</si>
  <si>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</si>
  <si>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</si>
  <si>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</si>
  <si>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</si>
  <si>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</si>
  <si>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</si>
  <si>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</si>
  <si>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</si>
  <si>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</si>
  <si>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</si>
  <si>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</si>
  <si>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</si>
  <si>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</si>
  <si>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</si>
  <si>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</si>
  <si>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</si>
  <si>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</si>
  <si>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</si>
  <si>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</si>
  <si>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</si>
  <si>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</si>
  <si>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</si>
  <si>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</si>
  <si>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</si>
  <si>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</si>
  <si>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</si>
  <si>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</si>
  <si>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</si>
  <si>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</si>
  <si>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</si>
  <si>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</si>
  <si>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</si>
  <si>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</si>
  <si>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</si>
  <si>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</si>
  <si>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</si>
  <si>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</si>
  <si>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</si>
  <si>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</si>
  <si>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</si>
  <si>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</si>
  <si>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</si>
  <si>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</si>
  <si>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</si>
  <si>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</si>
  <si>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</si>
  <si>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</si>
  <si>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</si>
  <si>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</si>
  <si>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</si>
  <si>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</si>
  <si>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</si>
  <si>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</si>
  <si>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</si>
  <si>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</si>
  <si>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</si>
  <si>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</si>
  <si>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</si>
  <si>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</si>
  <si>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</si>
  <si>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</si>
  <si>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</si>
  <si>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</si>
  <si>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</si>
  <si>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</si>
  <si>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</si>
  <si>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</si>
  <si>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</si>
  <si>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</si>
  <si>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</si>
  <si>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</si>
  <si>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</si>
  <si>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</si>
  <si>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</si>
  <si>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</si>
  <si>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</si>
  <si>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</si>
  <si>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</si>
  <si>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</si>
  <si>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</si>
  <si>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</si>
  <si>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</si>
  <si>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</si>
  <si>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</si>
  <si>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</si>
  <si>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</si>
  <si>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</si>
  <si>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</si>
  <si>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</si>
  <si>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</si>
  <si>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</si>
  <si>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</si>
  <si>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</si>
  <si>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</si>
  <si>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</si>
  <si>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</si>
  <si>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</si>
  <si>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</si>
  <si>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</si>
  <si>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</si>
  <si>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</si>
  <si>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</si>
  <si>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</si>
  <si>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</si>
  <si>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</si>
  <si>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</si>
  <si>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</si>
  <si>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</si>
  <si>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</si>
  <si>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</si>
  <si>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</si>
  <si>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</si>
  <si>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</si>
  <si>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</si>
  <si>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</si>
  <si>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</si>
  <si>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</si>
  <si>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</si>
  <si>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</si>
  <si>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</si>
  <si>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</si>
  <si>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</si>
  <si>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</si>
  <si>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</si>
  <si>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</si>
  <si>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</si>
  <si>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</si>
  <si>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</si>
  <si>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</si>
  <si>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</si>
  <si>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</si>
  <si>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</si>
  <si>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</si>
  <si>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</si>
  <si>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</si>
  <si>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</si>
  <si>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</si>
  <si>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</si>
  <si>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</si>
  <si>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</si>
  <si>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</si>
  <si>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</si>
  <si>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</si>
  <si>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</si>
  <si>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</si>
  <si>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</si>
  <si>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</si>
  <si>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</si>
  <si>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</si>
  <si>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</si>
  <si>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</si>
  <si>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</si>
  <si>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</si>
  <si>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</si>
  <si>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</si>
  <si>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</si>
  <si>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</si>
  <si>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</si>
  <si>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</si>
  <si>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</si>
  <si>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</si>
  <si>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</si>
  <si>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</si>
  <si>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</si>
  <si>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</si>
  <si>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</si>
  <si>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</si>
  <si>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</si>
  <si>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</si>
  <si>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</si>
  <si>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</si>
  <si>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</si>
  <si>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</si>
  <si>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</si>
  <si>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</si>
  <si>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</si>
  <si>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</si>
  <si>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</si>
  <si>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</si>
  <si>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</si>
  <si>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</si>
  <si>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</si>
  <si>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</si>
  <si>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</si>
  <si>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</si>
  <si>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</si>
  <si>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</si>
  <si>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</si>
  <si>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</si>
  <si>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</si>
  <si>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</si>
  <si>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</si>
  <si>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</si>
  <si>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</si>
  <si>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</si>
  <si>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</si>
  <si>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</si>
  <si>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</si>
  <si>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</si>
  <si>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</si>
  <si>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</si>
  <si>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</si>
  <si>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</si>
  <si>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</si>
  <si>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</si>
  <si>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</si>
  <si>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</si>
  <si>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</si>
  <si>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</si>
  <si>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</si>
  <si>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</si>
  <si>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</si>
  <si>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</si>
  <si>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</si>
  <si>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</si>
  <si>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</si>
  <si>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</si>
  <si>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</si>
  <si>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</si>
  <si>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</si>
  <si>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</si>
  <si>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</si>
  <si>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</si>
  <si>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</si>
  <si>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</si>
  <si>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</si>
  <si>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</si>
  <si>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</si>
  <si>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</si>
  <si>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</si>
  <si>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</si>
  <si>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</si>
  <si>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</si>
  <si>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</si>
  <si>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</si>
  <si>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</si>
  <si>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</si>
  <si>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</si>
  <si>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</si>
  <si>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</si>
  <si>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</si>
  <si>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</si>
  <si>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</si>
  <si>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</si>
  <si>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</si>
  <si>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</si>
  <si>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</si>
  <si>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</si>
  <si>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</si>
  <si>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</si>
  <si>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</si>
  <si>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</si>
  <si>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</si>
  <si>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</si>
  <si>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</si>
  <si>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</si>
  <si>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</si>
  <si>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</si>
  <si>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</si>
  <si>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</si>
  <si>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</si>
  <si>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</si>
  <si>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</si>
  <si>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</si>
  <si>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</si>
  <si>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</si>
  <si>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</si>
  <si>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</si>
  <si>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</si>
  <si>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</si>
  <si>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</si>
  <si>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</si>
  <si>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</si>
  <si>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</si>
  <si>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</si>
  <si>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</si>
  <si>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</si>
  <si>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</si>
  <si>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</si>
  <si>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</si>
  <si>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</si>
  <si>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</si>
  <si>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</si>
  <si>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</si>
  <si>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</si>
  <si>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</si>
  <si>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</si>
  <si>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</si>
  <si>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</si>
  <si>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</si>
  <si>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</si>
  <si>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</si>
  <si>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</si>
  <si>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</si>
  <si>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</si>
  <si>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</si>
  <si>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</si>
  <si>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</si>
  <si>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</si>
  <si>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</si>
  <si>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</si>
  <si>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</si>
  <si>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</si>
  <si>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</si>
  <si>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</si>
  <si>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</si>
  <si>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</si>
  <si>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</si>
  <si>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</si>
  <si>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</si>
  <si>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</si>
  <si>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</si>
  <si>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</si>
  <si>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</si>
  <si>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</si>
  <si>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</si>
  <si>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</si>
  <si>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</si>
  <si>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</si>
  <si>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</si>
  <si>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</si>
  <si>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</si>
  <si>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</si>
  <si>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</si>
  <si>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</si>
  <si>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</si>
  <si>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</si>
  <si>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</si>
  <si>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</si>
  <si>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</si>
  <si>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</si>
  <si>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</si>
  <si>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</si>
  <si>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</si>
  <si>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</si>
  <si>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</si>
  <si>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</si>
  <si>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</si>
  <si>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</si>
  <si>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</si>
  <si>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</si>
  <si>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</si>
  <si>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</si>
  <si>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</si>
  <si>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</si>
  <si>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</si>
  <si>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</si>
  <si>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</si>
  <si>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</si>
  <si>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</si>
  <si>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</si>
  <si>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</si>
  <si>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</si>
  <si>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</si>
  <si>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</si>
  <si>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</si>
  <si>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</si>
  <si>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</si>
  <si>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</si>
  <si>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</si>
  <si>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</si>
  <si>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</si>
  <si>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</si>
  <si>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</si>
  <si>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</si>
  <si>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</si>
  <si>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</si>
  <si>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</si>
  <si>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</si>
  <si>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</si>
  <si>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</si>
  <si>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</si>
  <si>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</si>
  <si>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</si>
  <si>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</si>
  <si>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</si>
  <si>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</si>
  <si>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</si>
  <si>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</si>
  <si>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</si>
  <si>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</si>
  <si>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</si>
  <si>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</si>
  <si>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</si>
  <si>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</si>
  <si>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</si>
  <si>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</si>
  <si>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</si>
  <si>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</si>
  <si>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</si>
  <si>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</si>
  <si>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</si>
  <si>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</si>
  <si>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</si>
  <si>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</si>
  <si>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</si>
  <si>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</si>
  <si>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</si>
  <si>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</si>
  <si>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</si>
  <si>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</si>
  <si>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</si>
  <si>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</si>
  <si>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</si>
  <si>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</si>
  <si>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</si>
  <si>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</si>
  <si>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</si>
  <si>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</si>
  <si>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</si>
  <si>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</si>
  <si>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</si>
  <si>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</si>
  <si>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</si>
  <si>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</si>
  <si>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</si>
  <si>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</si>
  <si>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</si>
  <si>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</si>
  <si>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</si>
  <si>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</si>
  <si>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</si>
  <si>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</si>
  <si>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</si>
  <si>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</si>
  <si>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</si>
  <si>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</si>
  <si>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</si>
  <si>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</si>
  <si>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</si>
  <si>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</si>
  <si>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</si>
  <si>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</si>
  <si>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</si>
  <si>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</si>
  <si>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</si>
  <si>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</si>
  <si>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</si>
  <si>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</si>
  <si>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</si>
  <si>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</si>
  <si>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</si>
  <si>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</si>
  <si>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</si>
  <si>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</si>
  <si>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</si>
  <si>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</si>
  <si>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</si>
  <si>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</si>
  <si>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</si>
  <si>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</si>
  <si>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</si>
  <si>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</si>
  <si>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</si>
  <si>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</si>
  <si>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</si>
  <si>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</si>
  <si>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</si>
  <si>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</si>
  <si>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</si>
  <si>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</si>
  <si>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</si>
  <si>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</si>
  <si>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</si>
  <si>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</si>
  <si>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</si>
  <si>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</si>
  <si>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</si>
  <si>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</si>
  <si>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</si>
  <si>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</si>
  <si>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</si>
  <si>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</si>
  <si>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</si>
  <si>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</si>
  <si>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</si>
  <si>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</si>
  <si>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</si>
  <si>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</si>
  <si>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</si>
  <si>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</si>
  <si>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</si>
  <si>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</si>
  <si>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</si>
  <si>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</si>
  <si>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</si>
  <si>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</si>
  <si>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</si>
  <si>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</si>
  <si>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</si>
  <si>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</si>
  <si>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</si>
  <si>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</si>
  <si>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</si>
  <si>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</si>
  <si>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</si>
  <si>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</si>
  <si>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</si>
  <si>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</si>
  <si>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</si>
  <si>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</si>
  <si>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</si>
  <si>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</si>
  <si>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</si>
  <si>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</si>
  <si>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</si>
  <si>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</si>
  <si>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</si>
  <si>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</si>
  <si>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</si>
  <si>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</si>
  <si>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</si>
  <si>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</si>
  <si>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</si>
  <si>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</si>
  <si>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</si>
  <si>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</si>
  <si>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</si>
  <si>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</si>
  <si>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</si>
  <si>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</si>
  <si>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</si>
  <si>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</si>
  <si>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</si>
  <si>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</si>
  <si>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</si>
  <si>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</si>
  <si>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</si>
  <si>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</si>
  <si>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</si>
  <si>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</si>
  <si>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</si>
  <si>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</si>
  <si>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</si>
  <si>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</si>
  <si>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</si>
  <si>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</si>
  <si>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</si>
  <si>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</si>
  <si>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</si>
  <si>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</si>
  <si>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</si>
  <si>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</si>
  <si>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</si>
  <si>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</si>
  <si>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</si>
  <si>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</si>
  <si>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</si>
  <si>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</si>
  <si>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</si>
  <si>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</si>
  <si>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</si>
  <si>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</si>
  <si>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</si>
  <si>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</si>
  <si>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</si>
  <si>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</si>
  <si>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</si>
  <si>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</si>
  <si>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</si>
  <si>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</si>
  <si>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</si>
  <si>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</si>
  <si>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</si>
  <si>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</si>
  <si>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</si>
  <si>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</si>
  <si>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</si>
  <si>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</si>
  <si>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</si>
  <si>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</si>
  <si>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</si>
  <si>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</si>
  <si>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</si>
  <si>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</si>
  <si>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</si>
  <si>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</si>
  <si>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</si>
  <si>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</si>
  <si>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</si>
  <si>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</si>
  <si>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</si>
  <si>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</si>
  <si>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</si>
  <si>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</si>
  <si>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</si>
  <si>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</si>
  <si>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</si>
  <si>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</si>
  <si>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</si>
  <si>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</si>
  <si>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</si>
  <si>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</si>
  <si>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</si>
  <si>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</si>
  <si>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</si>
  <si>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</si>
  <si>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</si>
  <si>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</si>
  <si>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</si>
  <si>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</si>
  <si>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</si>
  <si>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</si>
  <si>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</si>
  <si>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</si>
  <si>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</si>
  <si>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</si>
  <si>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</si>
  <si>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</si>
  <si>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</si>
  <si>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</si>
  <si>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</si>
  <si>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</si>
  <si>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</si>
  <si>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</si>
  <si>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</si>
  <si>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</si>
  <si>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</si>
  <si>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</si>
  <si>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</si>
  <si>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</si>
  <si>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</si>
  <si>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</si>
  <si>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</si>
  <si>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</si>
  <si>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</si>
  <si>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</si>
  <si>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</si>
  <si>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</si>
  <si>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</si>
  <si>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</si>
  <si>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</si>
  <si>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</si>
  <si>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</si>
  <si>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</si>
  <si>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</si>
  <si>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</si>
  <si>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</si>
  <si>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</si>
  <si>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</si>
  <si>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</si>
  <si>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</si>
  <si>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</si>
  <si>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</si>
  <si>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</si>
  <si>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</si>
  <si>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</si>
  <si>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</si>
  <si>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</si>
  <si>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</si>
  <si>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</si>
  <si>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</si>
  <si>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</si>
  <si>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</si>
  <si>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</si>
  <si>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</si>
  <si>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</si>
  <si>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</si>
  <si>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</si>
  <si>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</si>
  <si>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</si>
  <si>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</si>
  <si>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</si>
  <si>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</si>
  <si>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</si>
  <si>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</si>
  <si>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</si>
  <si>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</si>
  <si>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</si>
  <si>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</si>
  <si>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</si>
  <si>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</si>
  <si>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</si>
  <si>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</si>
  <si>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</si>
  <si>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</si>
  <si>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</si>
  <si>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</si>
  <si>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</si>
  <si>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</si>
  <si>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</si>
  <si>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</si>
  <si>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</si>
  <si>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</si>
  <si>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</si>
  <si>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</si>
  <si>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</si>
  <si>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</si>
  <si>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</si>
  <si>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</si>
  <si>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</si>
  <si>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</si>
  <si>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</si>
  <si>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</si>
  <si>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</si>
  <si>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</si>
  <si>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</si>
  <si>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</si>
  <si>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</si>
  <si>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</si>
  <si>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</si>
  <si>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</si>
  <si>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</si>
  <si>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</si>
  <si>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</si>
  <si>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</si>
  <si>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</si>
  <si>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</si>
  <si>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</si>
  <si>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</si>
  <si>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</si>
  <si>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</si>
  <si>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</si>
  <si>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</si>
  <si>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</si>
  <si>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</si>
  <si>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</si>
  <si>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</si>
  <si>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</si>
  <si>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</si>
  <si>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</si>
  <si>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</si>
  <si>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</si>
  <si>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</si>
  <si>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</si>
  <si>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</si>
  <si>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</si>
  <si>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</si>
  <si>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</si>
  <si>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</si>
  <si>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</si>
  <si>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</si>
  <si>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</si>
  <si>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</si>
  <si>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</si>
  <si>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</si>
  <si>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</si>
  <si>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</si>
  <si>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</si>
  <si>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</si>
  <si>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</si>
  <si>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</si>
  <si>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</si>
  <si>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</si>
  <si>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</si>
  <si>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</si>
  <si>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</si>
  <si>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</si>
  <si>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</si>
  <si>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</si>
  <si>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</si>
  <si>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</si>
  <si>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</si>
  <si>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</si>
  <si>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</si>
  <si>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</si>
  <si>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</si>
  <si>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</si>
  <si>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</si>
  <si>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</si>
  <si>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</si>
  <si>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</si>
  <si>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</si>
  <si>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</si>
  <si>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</si>
  <si>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</si>
  <si>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</si>
  <si>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</si>
  <si>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</si>
  <si>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</si>
  <si>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</si>
  <si>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</si>
  <si>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</si>
  <si>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</si>
  <si>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</si>
  <si>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</si>
  <si>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</si>
  <si>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</si>
  <si>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</si>
  <si>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</si>
  <si>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</si>
  <si>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</si>
  <si>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</si>
  <si>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</si>
  <si>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</si>
  <si>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</si>
  <si>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</si>
  <si>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</si>
  <si>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</si>
  <si>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</si>
  <si>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</si>
  <si>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</si>
  <si>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</si>
  <si>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</si>
  <si>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</si>
  <si>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</si>
  <si>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</si>
  <si>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</si>
  <si>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</si>
  <si>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</si>
  <si>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</si>
  <si>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</si>
  <si>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</si>
  <si>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</si>
  <si>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</si>
  <si>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</si>
  <si>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</si>
  <si>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</si>
  <si>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</si>
  <si>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</si>
  <si>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</si>
  <si>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</si>
  <si>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</si>
  <si>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</si>
  <si>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</si>
  <si>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</si>
  <si>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</si>
  <si>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</si>
  <si>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</si>
  <si>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</si>
  <si>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</si>
  <si>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</si>
  <si>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</si>
  <si>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</si>
  <si>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</si>
  <si>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</si>
  <si>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</si>
  <si>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</si>
  <si>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</si>
  <si>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</si>
  <si>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</si>
  <si>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</si>
  <si>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</si>
  <si>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</si>
  <si>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</si>
  <si>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</si>
  <si>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</si>
  <si>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</si>
  <si>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</si>
  <si>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</si>
  <si>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</si>
  <si>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</si>
  <si>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</si>
  <si>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</si>
  <si>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</si>
  <si>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</si>
  <si>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</si>
  <si>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</si>
  <si>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</si>
  <si>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</si>
  <si>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</si>
  <si>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</si>
  <si>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</si>
  <si>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</si>
  <si>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</si>
  <si>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</si>
  <si>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</si>
  <si>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</si>
  <si>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</si>
  <si>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</si>
  <si>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</si>
  <si>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</si>
  <si>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</si>
  <si>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</si>
  <si>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</si>
  <si>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</si>
  <si>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</si>
  <si>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</si>
  <si>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</si>
  <si>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</si>
  <si>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</si>
  <si>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</si>
  <si>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</si>
  <si>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</si>
  <si>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</si>
  <si>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</si>
  <si>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</si>
  <si>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</si>
  <si>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</si>
  <si>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</si>
  <si>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</si>
  <si>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</si>
  <si>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</si>
  <si>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</si>
  <si>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</si>
  <si>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</si>
  <si>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</si>
  <si>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</si>
  <si>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</si>
  <si>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</si>
  <si>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</si>
  <si>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</si>
  <si>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</si>
  <si>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</si>
  <si>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</si>
  <si>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</si>
  <si>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</si>
  <si>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</si>
  <si>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</si>
  <si>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</si>
  <si>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</si>
  <si>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</si>
  <si>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</si>
  <si>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</si>
  <si>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</si>
  <si>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</si>
  <si>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</si>
  <si>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</si>
  <si>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</si>
  <si>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</si>
  <si>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</si>
  <si>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</si>
  <si>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</si>
  <si>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</si>
  <si>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</si>
  <si>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</si>
  <si>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</si>
  <si>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</si>
  <si>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</si>
  <si>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</si>
  <si>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</si>
  <si>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</si>
  <si>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</si>
  <si>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</si>
  <si>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</si>
  <si>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</si>
  <si>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</si>
  <si>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</si>
  <si>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</si>
  <si>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</si>
  <si>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</si>
  <si>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</si>
  <si>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</si>
  <si>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</si>
  <si>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</si>
  <si>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</si>
  <si>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</si>
  <si>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</si>
  <si>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</si>
  <si>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</si>
  <si>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</si>
  <si>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</si>
  <si>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</si>
  <si>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</si>
  <si>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</si>
  <si>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</si>
  <si>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</si>
  <si>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</si>
  <si>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</si>
  <si>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</si>
  <si>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</si>
  <si>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</si>
  <si>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</si>
  <si>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</si>
  <si>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</si>
  <si>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</si>
  <si>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</si>
  <si>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</si>
  <si>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</si>
  <si>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</si>
  <si>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</si>
  <si>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</si>
  <si>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</si>
  <si>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</si>
  <si>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</si>
  <si>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</si>
  <si>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</si>
  <si>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</si>
  <si>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</si>
  <si>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</si>
  <si>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</si>
  <si>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</si>
  <si>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</si>
  <si>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</si>
  <si>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</si>
  <si>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</si>
  <si>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</si>
  <si>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</si>
  <si>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</si>
  <si>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</si>
  <si>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</si>
  <si>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</si>
  <si>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</si>
  <si>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</si>
  <si>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</si>
  <si>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</si>
  <si>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</si>
  <si>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</si>
  <si>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</si>
  <si>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</si>
  <si>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</si>
  <si>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</si>
  <si>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</si>
  <si>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</si>
  <si>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</si>
  <si>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</si>
  <si>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</si>
  <si>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</si>
  <si>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</si>
  <si>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</si>
  <si>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</si>
  <si>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</si>
  <si>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</si>
  <si>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</si>
  <si>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</si>
  <si>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</si>
  <si>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</si>
  <si>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</si>
  <si>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</si>
  <si>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</si>
  <si>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</si>
  <si>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</si>
  <si>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</si>
  <si>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</si>
  <si>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</si>
  <si>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</si>
  <si>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</si>
  <si>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</si>
  <si>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</si>
  <si>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</si>
  <si>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</si>
  <si>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</si>
  <si>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</si>
  <si>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</si>
  <si>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</si>
  <si>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</si>
  <si>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</si>
  <si>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</si>
  <si>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</si>
  <si>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</si>
  <si>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</si>
  <si>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</si>
  <si>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</si>
  <si>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</si>
  <si>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</si>
  <si>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</si>
  <si>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</si>
  <si>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</si>
  <si>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</si>
  <si>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</si>
  <si>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</si>
  <si>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</si>
  <si>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</si>
  <si>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</si>
  <si>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</si>
  <si>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</si>
  <si>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</si>
  <si>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</si>
  <si>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</si>
  <si>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</si>
  <si>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</si>
  <si>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</si>
  <si>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</si>
  <si>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</si>
  <si>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</si>
  <si>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</si>
  <si>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</si>
  <si>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</si>
  <si>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</si>
  <si>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</si>
  <si>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</si>
  <si>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</si>
  <si>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</si>
  <si>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</si>
  <si>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</si>
  <si>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</si>
  <si>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</si>
  <si>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</si>
  <si>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</si>
  <si>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</si>
  <si>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</si>
  <si>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</si>
  <si>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</si>
  <si>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</si>
  <si>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</si>
  <si>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</si>
  <si>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</si>
  <si>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</si>
  <si>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</si>
  <si>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</si>
  <si>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</si>
  <si>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</si>
  <si>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</si>
  <si>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</si>
  <si>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</si>
  <si>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</si>
  <si>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</si>
  <si>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</si>
  <si>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</si>
  <si>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</si>
  <si>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</si>
  <si>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</si>
  <si>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</si>
  <si>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</si>
  <si>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</si>
  <si>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</si>
  <si>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</si>
  <si>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</si>
  <si>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</si>
  <si>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</si>
  <si>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</si>
  <si>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</si>
  <si>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</si>
  <si>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</si>
  <si>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</si>
  <si>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</si>
  <si>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</si>
  <si>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</si>
  <si>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</si>
  <si>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</si>
  <si>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</si>
  <si>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</si>
  <si>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</si>
  <si>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</si>
  <si>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</si>
  <si>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</si>
  <si>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</si>
  <si>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</si>
  <si>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</si>
  <si>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</si>
  <si>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</si>
  <si>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</si>
  <si>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</si>
  <si>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</si>
  <si>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</si>
  <si>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</si>
  <si>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</si>
  <si>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</si>
  <si>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</si>
  <si>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</si>
  <si>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</si>
  <si>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</si>
  <si>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</si>
  <si>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</si>
  <si>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</si>
  <si>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</si>
  <si>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</si>
  <si>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</si>
  <si>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</si>
  <si>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</si>
  <si>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</si>
  <si>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</si>
  <si>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</si>
  <si>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</si>
  <si>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</si>
  <si>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</si>
  <si>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</si>
  <si>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</si>
  <si>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</si>
  <si>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</si>
  <si>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</si>
  <si>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</si>
  <si>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</si>
  <si>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</si>
  <si>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</si>
  <si>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</si>
  <si>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</si>
  <si>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</si>
  <si>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</si>
  <si>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</si>
  <si>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</si>
  <si>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</si>
  <si>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</si>
  <si>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</si>
  <si>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</si>
  <si>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</si>
  <si>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</si>
  <si>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</si>
  <si>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</si>
  <si>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</si>
  <si>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</si>
  <si>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</si>
  <si>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</si>
  <si>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</si>
  <si>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</si>
  <si>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</si>
  <si>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</si>
  <si>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</si>
  <si>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</si>
  <si>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</si>
  <si>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</si>
  <si>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</si>
  <si>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</si>
  <si>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</si>
  <si>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</si>
  <si>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</si>
  <si>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</si>
  <si>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</si>
  <si>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</si>
  <si>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</si>
  <si>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</si>
  <si>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</si>
  <si>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</si>
  <si>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</si>
  <si>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</si>
  <si>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</si>
  <si>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</si>
  <si>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</si>
  <si>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</si>
  <si>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</si>
  <si>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</si>
  <si>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</si>
  <si>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</si>
  <si>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</si>
  <si>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</si>
  <si>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</si>
  <si>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</si>
  <si>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</si>
  <si>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</si>
  <si>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</si>
  <si>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</si>
  <si>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</si>
  <si>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</si>
  <si>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</si>
  <si>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</si>
  <si>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</si>
  <si>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</si>
  <si>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</si>
  <si>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</si>
  <si>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</si>
  <si>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</si>
  <si>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</si>
  <si>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</si>
  <si>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</si>
  <si>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</si>
  <si>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</si>
  <si>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</si>
  <si>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</si>
  <si>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</si>
  <si>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</si>
  <si>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</si>
  <si>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</si>
  <si>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</si>
  <si>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</si>
  <si>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</si>
  <si>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</si>
  <si>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</si>
  <si>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</si>
  <si>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</si>
  <si>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</si>
  <si>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</si>
  <si>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</si>
  <si>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</si>
  <si>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</si>
  <si>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</si>
  <si>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</si>
  <si>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</si>
  <si>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</si>
  <si>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</si>
  <si>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</si>
  <si>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</si>
  <si>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</si>
  <si>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</si>
  <si>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</si>
  <si>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</si>
  <si>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</si>
  <si>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</si>
  <si>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</si>
  <si>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</si>
  <si>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</si>
  <si>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</si>
  <si>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</si>
  <si>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</si>
  <si>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</si>
  <si>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</si>
  <si>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</si>
  <si>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</si>
  <si>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</si>
  <si>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</si>
  <si>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</si>
  <si>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</si>
  <si>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</si>
  <si>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</si>
  <si>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</si>
  <si>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</si>
  <si>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</si>
  <si>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</si>
  <si>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</si>
  <si>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</si>
  <si>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</si>
  <si>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</si>
  <si>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</si>
  <si>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</si>
  <si>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</si>
  <si>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</si>
  <si>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</si>
  <si>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</si>
  <si>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</si>
  <si>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</si>
  <si>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</si>
  <si>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</si>
  <si>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</si>
  <si>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</si>
  <si>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</si>
  <si>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</si>
  <si>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</si>
  <si>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</si>
  <si>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</si>
  <si>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</si>
  <si>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</si>
  <si>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</si>
  <si>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</si>
  <si>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</si>
  <si>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</si>
  <si>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</si>
  <si>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</si>
  <si>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</si>
  <si>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</si>
  <si>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</si>
  <si>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</si>
  <si>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</si>
  <si>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</si>
  <si>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</si>
  <si>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</si>
  <si>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</si>
  <si>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</si>
  <si>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</si>
  <si>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</si>
  <si>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</si>
  <si>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</si>
  <si>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</si>
  <si>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</si>
  <si>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</si>
  <si>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</si>
  <si>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</si>
  <si>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</si>
  <si>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</si>
  <si>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</si>
  <si>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</si>
  <si>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</si>
  <si>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</si>
  <si>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</si>
  <si>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</si>
  <si>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</si>
  <si>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</si>
  <si>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</si>
  <si>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</si>
  <si>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</si>
  <si>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</si>
  <si>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</si>
  <si>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</si>
  <si>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</si>
  <si>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</si>
  <si>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</si>
  <si>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</si>
  <si>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</si>
  <si>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</si>
  <si>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</si>
  <si>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</si>
  <si>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</si>
  <si>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</si>
  <si>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</si>
  <si>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</si>
  <si>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</si>
  <si>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</si>
  <si>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</si>
  <si>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</si>
  <si>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</si>
  <si>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</si>
  <si>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</si>
  <si>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</si>
  <si>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</si>
  <si>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</si>
  <si>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</si>
  <si>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</si>
  <si>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</si>
  <si>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</si>
  <si>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</si>
  <si>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</si>
  <si>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</si>
  <si>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</si>
  <si>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</si>
  <si>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</si>
  <si>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</si>
  <si>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</si>
  <si>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</si>
  <si>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</si>
  <si>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</si>
  <si>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</si>
  <si>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</si>
  <si>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</si>
  <si>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</si>
  <si>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</si>
  <si>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</si>
  <si>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</si>
  <si>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</si>
  <si>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</si>
  <si>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</si>
  <si>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</si>
  <si>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</si>
  <si>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</si>
  <si>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</si>
  <si>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</si>
  <si>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</si>
  <si>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</si>
  <si>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</si>
  <si>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</si>
  <si>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</si>
  <si>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</si>
  <si>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</si>
  <si>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</si>
  <si>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</si>
  <si>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</si>
  <si>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</si>
  <si>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</si>
  <si>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</si>
  <si>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</si>
  <si>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</si>
  <si>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</si>
  <si>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</si>
  <si>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</si>
  <si>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</si>
  <si>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</si>
  <si>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</si>
  <si>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</si>
  <si>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</si>
  <si>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</si>
  <si>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</si>
  <si>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</si>
  <si>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</si>
  <si>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</si>
  <si>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</si>
  <si>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</si>
  <si>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</si>
  <si>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</si>
  <si>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</si>
  <si>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</si>
  <si>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</si>
  <si>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</si>
  <si>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</si>
  <si>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</si>
  <si>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</si>
  <si>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</si>
  <si>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</si>
  <si>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</si>
  <si>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</si>
  <si>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</si>
  <si>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</si>
  <si>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</si>
  <si>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</si>
  <si>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</si>
  <si>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</si>
  <si>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</si>
  <si>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</si>
  <si>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</si>
  <si>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</si>
  <si>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</si>
  <si>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</si>
  <si>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</si>
  <si>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</si>
  <si>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</si>
  <si>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</si>
  <si>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</si>
  <si>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</si>
  <si>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</si>
  <si>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</si>
  <si>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</si>
  <si>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</si>
  <si>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</si>
  <si>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</si>
  <si>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</si>
  <si>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</si>
  <si>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</si>
  <si>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</si>
  <si>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</si>
  <si>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</si>
  <si>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</si>
  <si>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</si>
  <si>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</si>
  <si>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</si>
  <si>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</si>
  <si>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</si>
  <si>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</si>
  <si>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</si>
  <si>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</si>
  <si>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</si>
  <si>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</si>
  <si>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</si>
  <si>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</si>
  <si>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</si>
  <si>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</si>
  <si>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</si>
  <si>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</si>
  <si>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</si>
  <si>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</si>
  <si>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</si>
  <si>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</si>
  <si>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</si>
  <si>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</si>
  <si>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</si>
  <si>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</si>
  <si>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</si>
  <si>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</si>
  <si>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</si>
  <si>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</si>
  <si>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</si>
  <si>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</si>
  <si>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</si>
  <si>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</si>
  <si>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</si>
  <si>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</si>
  <si>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</si>
  <si>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</si>
  <si>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</si>
  <si>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</si>
  <si>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</si>
  <si>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</si>
  <si>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</si>
  <si>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</si>
  <si>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</si>
  <si>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</si>
  <si>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</si>
  <si>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</si>
  <si>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</si>
  <si>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</si>
  <si>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</si>
  <si>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</si>
  <si>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</si>
  <si>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</si>
  <si>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</si>
  <si>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</si>
  <si>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</si>
  <si>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</si>
  <si>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</si>
  <si>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</si>
  <si>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</si>
  <si>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</si>
  <si>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</si>
  <si>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</si>
  <si>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</si>
  <si>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</si>
  <si>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</si>
  <si>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</si>
  <si>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</si>
  <si>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</si>
  <si>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</si>
  <si>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</si>
  <si>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</si>
  <si>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</si>
  <si>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</si>
  <si>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</si>
  <si>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</si>
  <si>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</si>
  <si>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</si>
  <si>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</si>
  <si>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</si>
  <si>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</si>
  <si>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</si>
  <si>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</si>
  <si>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</si>
  <si>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</si>
  <si>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</si>
  <si>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</si>
  <si>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</si>
  <si>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</si>
  <si>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</si>
  <si>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</si>
  <si>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</si>
  <si>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</si>
  <si>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</si>
  <si>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</si>
  <si>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</si>
  <si>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</si>
  <si>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</si>
  <si>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</si>
  <si>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</si>
  <si>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</si>
  <si>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</si>
  <si>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</si>
  <si>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</si>
  <si>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</si>
  <si>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</si>
  <si>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</si>
  <si>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</si>
  <si>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</si>
  <si>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</si>
  <si>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</si>
  <si>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</si>
  <si>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</si>
  <si>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</si>
  <si>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</si>
  <si>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</si>
  <si>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</si>
  <si>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</si>
  <si>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</si>
  <si>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</si>
  <si>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</si>
  <si>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</si>
  <si>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</si>
  <si>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</si>
  <si>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</si>
  <si>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</si>
  <si>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</si>
  <si>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</si>
  <si>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</si>
  <si>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</si>
  <si>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</si>
  <si>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</si>
  <si>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</si>
  <si>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</si>
  <si>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</si>
  <si>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</si>
  <si>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</si>
  <si>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</si>
  <si>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</si>
  <si>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</si>
  <si>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</si>
  <si>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</si>
  <si>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</si>
  <si>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</si>
  <si>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</si>
  <si>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</si>
  <si>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</si>
  <si>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</si>
  <si>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</si>
  <si>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</si>
  <si>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</si>
  <si>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</si>
  <si>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</si>
  <si>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</si>
  <si>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</si>
  <si>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</si>
  <si>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</si>
  <si>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</si>
  <si>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</si>
  <si>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</si>
  <si>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</si>
  <si>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</si>
  <si>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</si>
  <si>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</si>
  <si>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</si>
  <si>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</si>
  <si>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</si>
  <si>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</si>
  <si>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</si>
  <si>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</si>
  <si>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</si>
  <si>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</si>
  <si>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</si>
  <si>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</si>
  <si>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</si>
  <si>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</si>
  <si>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</si>
  <si>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</si>
  <si>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</si>
  <si>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</si>
  <si>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</si>
  <si>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</si>
  <si>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</si>
  <si>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</si>
  <si>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</si>
  <si>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</si>
  <si>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</si>
  <si>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</si>
  <si>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</si>
  <si>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</si>
  <si>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</si>
  <si>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</si>
  <si>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</si>
  <si>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</si>
  <si>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</si>
  <si>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</si>
  <si>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</si>
  <si>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</si>
  <si>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</si>
  <si>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</si>
  <si>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</si>
  <si>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</si>
  <si>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</si>
  <si>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</si>
  <si>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</si>
  <si>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</si>
  <si>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</si>
  <si>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</si>
  <si>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</si>
  <si>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</si>
  <si>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</si>
  <si>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</si>
  <si>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</si>
  <si>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</si>
  <si>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</si>
  <si>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</si>
  <si>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</si>
  <si>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</si>
  <si>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</si>
  <si>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</si>
  <si>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</si>
  <si>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</si>
  <si>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</si>
  <si>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</si>
  <si>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</si>
  <si>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</si>
  <si>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</si>
  <si>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</si>
  <si>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</si>
  <si>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</si>
  <si>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</si>
  <si>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</si>
  <si>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</si>
  <si>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</si>
  <si>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</si>
  <si>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</si>
  <si>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</si>
  <si>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</si>
  <si>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</si>
  <si>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</si>
  <si>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</si>
  <si>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</si>
  <si>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</si>
  <si>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</si>
  <si>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</si>
  <si>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</si>
  <si>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</si>
  <si>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</si>
  <si>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</si>
  <si>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</si>
  <si>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</si>
  <si>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</si>
  <si>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</si>
  <si>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</si>
  <si>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</si>
  <si>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</si>
  <si>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</si>
  <si>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</si>
  <si>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</si>
  <si>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</si>
  <si>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</si>
  <si>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</si>
  <si>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</si>
  <si>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</si>
  <si>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</si>
  <si>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</si>
  <si>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</si>
  <si>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</si>
  <si>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</si>
  <si>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</si>
  <si>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</si>
  <si>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</si>
  <si>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</si>
  <si>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</si>
  <si>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</si>
  <si>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</si>
  <si>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</si>
  <si>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</si>
  <si>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</si>
  <si>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</si>
  <si>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</si>
  <si>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</si>
  <si>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</si>
  <si>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</si>
  <si>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</si>
  <si>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</si>
  <si>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</si>
  <si>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</si>
  <si>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</si>
  <si>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</si>
  <si>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</si>
  <si>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</si>
  <si>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</si>
  <si>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</si>
  <si>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</si>
  <si>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</si>
  <si>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</si>
  <si>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</si>
  <si>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</si>
  <si>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</si>
  <si>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</si>
  <si>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</si>
  <si>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</si>
  <si>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</si>
  <si>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</si>
  <si>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</si>
  <si>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</si>
  <si>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</si>
  <si>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</si>
  <si>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</si>
  <si>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</si>
  <si>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</si>
  <si>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</si>
  <si>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</si>
  <si>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</si>
  <si>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</si>
  <si>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</si>
  <si>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</si>
  <si>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</si>
  <si>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</si>
  <si>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</si>
  <si>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</si>
  <si>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</si>
  <si>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</si>
  <si>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</si>
  <si>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</si>
  <si>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</si>
  <si>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</si>
  <si>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</si>
  <si>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</si>
  <si>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</si>
  <si>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</si>
  <si>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</si>
  <si>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</si>
  <si>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</si>
  <si>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</si>
  <si>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</si>
  <si>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</si>
  <si>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</si>
  <si>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</si>
  <si>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</si>
  <si>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</si>
  <si>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</si>
  <si>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</si>
  <si>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</si>
  <si>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</si>
  <si>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</si>
  <si>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</si>
  <si>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</si>
  <si>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</si>
  <si>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</si>
  <si>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</si>
  <si>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</si>
  <si>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</si>
  <si>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</si>
  <si>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</si>
  <si>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</si>
  <si>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</si>
  <si>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</si>
  <si>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</si>
  <si>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</si>
  <si>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</si>
  <si>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</si>
  <si>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</si>
  <si>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</si>
  <si>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</si>
  <si>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</si>
  <si>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</si>
  <si>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</si>
  <si>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</si>
  <si>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</si>
  <si>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</si>
  <si>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</si>
  <si>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</si>
  <si>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</si>
  <si>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</si>
  <si>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</si>
  <si>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</si>
  <si>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</si>
  <si>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</si>
  <si>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</si>
  <si>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</si>
  <si>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</si>
  <si>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</si>
  <si>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</si>
  <si>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</si>
  <si>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</si>
  <si>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</si>
  <si>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</si>
  <si>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</si>
  <si>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</si>
  <si>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</si>
  <si>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</si>
  <si>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</si>
  <si>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</si>
  <si>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</si>
  <si>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</si>
  <si>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</si>
  <si>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</si>
  <si>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</si>
  <si>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</si>
  <si>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</si>
  <si>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</si>
  <si>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</si>
  <si>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</si>
  <si>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</si>
  <si>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</si>
  <si>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</si>
  <si>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</si>
  <si>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</si>
  <si>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</si>
  <si>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</si>
  <si>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</si>
  <si>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</si>
  <si>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</si>
  <si>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</si>
  <si>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</si>
  <si>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</si>
  <si>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</si>
  <si>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</si>
  <si>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</si>
  <si>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</si>
  <si>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</si>
  <si>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</si>
  <si>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</si>
  <si>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</si>
  <si>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</si>
  <si>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</si>
  <si>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</si>
  <si>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</si>
  <si>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</si>
  <si>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</si>
  <si>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</si>
  <si>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</si>
  <si>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</si>
  <si>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</si>
  <si>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</si>
  <si>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</si>
  <si>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</si>
  <si>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</si>
  <si>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</si>
  <si>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</si>
  <si>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</si>
  <si>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</si>
  <si>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</si>
  <si>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</si>
  <si>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</si>
  <si>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</si>
  <si>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</si>
  <si>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</si>
  <si>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</si>
  <si>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</si>
  <si>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</si>
  <si>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</si>
  <si>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</si>
  <si>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</si>
  <si>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</si>
  <si>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</si>
  <si>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</si>
  <si>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</si>
  <si>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</si>
  <si>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</si>
  <si>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</si>
  <si>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</si>
  <si>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</si>
  <si>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</si>
  <si>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</si>
  <si>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</si>
  <si>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</si>
  <si>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</si>
  <si>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</si>
  <si>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</si>
  <si>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</si>
  <si>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</si>
  <si>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</si>
  <si>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</si>
  <si>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</si>
  <si>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</si>
  <si>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</si>
  <si>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</si>
  <si>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</si>
  <si>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</si>
  <si>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</si>
  <si>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</si>
  <si>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</si>
  <si>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</si>
  <si>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</si>
  <si>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</si>
  <si>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</si>
  <si>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</si>
  <si>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</si>
  <si>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</si>
  <si>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</si>
  <si>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</si>
  <si>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</si>
  <si>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</si>
  <si>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</si>
  <si>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</si>
  <si>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</si>
  <si>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</si>
  <si>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</si>
  <si>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</si>
  <si>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</si>
  <si>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</si>
  <si>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</si>
  <si>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</si>
  <si>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</si>
  <si>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</si>
  <si>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</si>
  <si>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</si>
  <si>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</si>
  <si>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</si>
  <si>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</si>
  <si>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</si>
  <si>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</si>
  <si>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</si>
  <si>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</si>
  <si>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</si>
  <si>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</si>
  <si>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</si>
  <si>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</si>
  <si>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</si>
  <si>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</si>
  <si>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</si>
  <si>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</si>
  <si>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</si>
  <si>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</si>
  <si>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</si>
  <si>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</si>
  <si>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</si>
  <si>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</si>
  <si>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</si>
  <si>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</si>
  <si>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</si>
  <si>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</si>
  <si>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</si>
  <si>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</si>
  <si>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</si>
  <si>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</si>
  <si>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</si>
  <si>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</si>
  <si>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</si>
  <si>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</si>
  <si>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</si>
  <si>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</si>
  <si>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</si>
  <si>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</si>
  <si>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</si>
  <si>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</si>
  <si>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</si>
  <si>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</si>
  <si>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</si>
  <si>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</si>
  <si>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</si>
  <si>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</si>
  <si>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</si>
  <si>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</si>
  <si>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Nom latin de l'appellation du taxon</t>
  </si>
  <si>
    <t>Code de l'appellation du taxon</t>
  </si>
  <si>
    <t>Auteur de l'appellation du taxon</t>
  </si>
  <si>
    <t>Niveau taxonomique</t>
  </si>
  <si>
    <t xml:space="preserve"> https://api.sandre.eaufrance.fr/referentiels/v1/appeltaxon.csv?filter=&lt;Filter&gt;&lt;IS&gt;&lt;Field&gt;//CdThemeTaxon&lt;/Field&gt;&lt;Value&gt;12&lt;/Value&gt;&lt;/IS&gt;&lt;/Filter&gt; </t>
  </si>
  <si>
    <t>Belfiore, 1981</t>
  </si>
  <si>
    <t>Gerris rufoscutellatus</t>
  </si>
  <si>
    <t>(Giesbrecht, 1895)</t>
  </si>
  <si>
    <t>Stratiomyoidea</t>
  </si>
  <si>
    <t>Cyclestheridae</t>
  </si>
  <si>
    <t>Petricolinae</t>
  </si>
  <si>
    <t>Sars, 1887</t>
  </si>
  <si>
    <t>Spirorbinae</t>
  </si>
  <si>
    <t>Ophiopeltis</t>
  </si>
  <si>
    <t xml:space="preserve">Bause and Thienemann, 1913 	    	  </t>
  </si>
  <si>
    <t xml:space="preserve">Vander Linden, 1820 		  </t>
  </si>
  <si>
    <t>(M.Sars, 1846)</t>
  </si>
  <si>
    <t>(Liévin, 1848)</t>
  </si>
  <si>
    <t>(O.F. Müller, 1785)</t>
  </si>
  <si>
    <t>Turtoniinae</t>
  </si>
  <si>
    <t>Phryganeoidea</t>
  </si>
  <si>
    <t>(Ellis, 1768)</t>
  </si>
  <si>
    <t xml:space="preserve">(Linnaeus, 1761) 	    	  	 </t>
  </si>
  <si>
    <t xml:space="preserve">(Retzius, 1783) 	    	  	 </t>
  </si>
  <si>
    <t xml:space="preserve">(Hagen, 1868) 	    	  	 </t>
  </si>
  <si>
    <t xml:space="preserve"> McLachlan, 1865 	    	  	 </t>
  </si>
  <si>
    <t xml:space="preserve">McLachlan, 1863 	    	  	 </t>
  </si>
  <si>
    <t>Kluge, 1988</t>
  </si>
  <si>
    <t>(O.F.Müller, 1776)</t>
  </si>
  <si>
    <t>(Pictet, 1845) p.p.</t>
  </si>
  <si>
    <t>Polycystis</t>
  </si>
  <si>
    <t>Kölliker, 1845</t>
  </si>
  <si>
    <t>M.Sars, 1846</t>
  </si>
  <si>
    <t xml:space="preserve">(Currie, 1901) 	</t>
  </si>
  <si>
    <t xml:space="preserve">d'Orbigny, 1842 	</t>
  </si>
  <si>
    <t>Spengel, 1881</t>
  </si>
  <si>
    <t>[unassigned] Heterobranchia</t>
  </si>
  <si>
    <t>[unassigned] Caenogastropoda</t>
  </si>
  <si>
    <t>[unassigned] Euheterodonta</t>
  </si>
  <si>
    <t>(Thompson in Gray, 1848)</t>
  </si>
  <si>
    <t>Epileucon</t>
  </si>
  <si>
    <t>M.Huber, Langleit &amp; Kreipl, 2015</t>
  </si>
  <si>
    <t>F.Nordsieck, 1969</t>
  </si>
  <si>
    <t>(S.Wood, 1839)</t>
  </si>
  <si>
    <t>(H.Adams, 1871)</t>
  </si>
  <si>
    <t>Haliclona angulata</t>
  </si>
  <si>
    <t>Hymedesmia pansa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</si>
  <si>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</si>
  <si>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</si>
  <si>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</si>
  <si>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</si>
  <si>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</si>
  <si>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</si>
  <si>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</si>
  <si>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</si>
  <si>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</si>
  <si>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</si>
  <si>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</si>
  <si>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</si>
  <si>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</si>
  <si>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</si>
  <si>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</si>
  <si>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</si>
  <si>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</si>
  <si>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</si>
  <si>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</si>
  <si>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</si>
  <si>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</si>
  <si>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</si>
  <si>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</si>
  <si>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</si>
  <si>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</si>
  <si>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</si>
  <si>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</si>
  <si>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</si>
  <si>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</si>
  <si>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</si>
  <si>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</si>
  <si>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</si>
  <si>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</si>
  <si>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</si>
  <si>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</si>
  <si>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</si>
  <si>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</si>
  <si>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</si>
  <si>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</si>
  <si>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</si>
  <si>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</si>
  <si>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</si>
  <si>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</si>
  <si>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</si>
  <si>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</si>
  <si>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</si>
  <si>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</si>
  <si>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</si>
  <si>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</si>
  <si>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</si>
  <si>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</si>
  <si>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</si>
  <si>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</si>
  <si>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</si>
  <si>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</si>
  <si>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</si>
  <si>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</si>
  <si>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</si>
  <si>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</si>
  <si>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</si>
  <si>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</si>
  <si>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</si>
  <si>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</si>
  <si>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</si>
  <si>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</si>
  <si>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</si>
  <si>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</si>
  <si>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</si>
  <si>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</si>
  <si>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</si>
  <si>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</si>
  <si>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</si>
  <si>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</si>
  <si>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</si>
  <si>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</si>
  <si>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</si>
  <si>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</si>
  <si>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</si>
  <si>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</si>
  <si>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</si>
  <si>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</si>
  <si>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</si>
  <si>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</si>
  <si>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</si>
  <si>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</si>
  <si>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</si>
  <si>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</si>
  <si>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</si>
  <si>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</si>
  <si>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</si>
  <si>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</si>
  <si>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</si>
  <si>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</si>
  <si>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</si>
  <si>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</si>
  <si>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</si>
  <si>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</si>
  <si>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</si>
  <si>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</si>
  <si>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</si>
  <si>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</si>
  <si>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</si>
  <si>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</si>
  <si>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</si>
  <si>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</si>
  <si>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</si>
  <si>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</si>
  <si>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</si>
  <si>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</si>
  <si>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</si>
  <si>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</si>
  <si>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</si>
  <si>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</si>
  <si>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</si>
  <si>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</si>
  <si>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</si>
  <si>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</si>
  <si>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</si>
  <si>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</si>
  <si>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</si>
  <si>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</si>
  <si>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</si>
  <si>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</si>
  <si>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</si>
  <si>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</si>
  <si>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</si>
  <si>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</si>
  <si>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</si>
  <si>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</si>
  <si>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</si>
  <si>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</si>
  <si>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</si>
  <si>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</si>
  <si>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</si>
  <si>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</si>
  <si>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</si>
  <si>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</si>
  <si>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</si>
  <si>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</si>
  <si>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</si>
  <si>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</si>
  <si>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</si>
  <si>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</si>
  <si>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</si>
  <si>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</si>
  <si>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</si>
  <si>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</si>
  <si>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</si>
  <si>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</si>
  <si>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</si>
  <si>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</si>
  <si>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</si>
  <si>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</si>
  <si>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</si>
  <si>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</si>
  <si>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</si>
  <si>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</si>
  <si>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</si>
  <si>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</si>
  <si>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</si>
  <si>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</si>
  <si>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</si>
  <si>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</si>
  <si>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</si>
  <si>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</si>
  <si>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</si>
  <si>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</si>
  <si>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</si>
  <si>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</si>
  <si>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</si>
  <si>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</si>
  <si>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</si>
  <si>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</si>
  <si>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</si>
  <si>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</si>
  <si>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</si>
  <si>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</si>
  <si>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</si>
  <si>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</si>
  <si>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</si>
  <si>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</si>
  <si>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</si>
  <si>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</si>
  <si>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</si>
  <si>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</si>
  <si>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</si>
  <si>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</si>
  <si>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</si>
  <si>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</si>
  <si>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</si>
  <si>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</si>
  <si>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</si>
  <si>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</si>
  <si>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</si>
  <si>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</si>
  <si>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</si>
  <si>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</si>
  <si>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</si>
  <si>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</si>
  <si>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</si>
  <si>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</si>
  <si>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</si>
  <si>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</si>
  <si>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</si>
  <si>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</si>
  <si>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</si>
  <si>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</si>
  <si>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</si>
  <si>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</si>
  <si>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</si>
  <si>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</si>
  <si>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</si>
  <si>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</si>
  <si>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</si>
  <si>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</si>
  <si>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</si>
  <si>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</si>
  <si>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</si>
  <si>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</si>
  <si>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</si>
  <si>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</si>
  <si>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</si>
  <si>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</si>
  <si>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</si>
  <si>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</si>
  <si>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</si>
  <si>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</si>
  <si>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</si>
  <si>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</si>
  <si>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</si>
  <si>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</si>
  <si>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</si>
  <si>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</si>
  <si>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</si>
  <si>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</si>
  <si>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</si>
  <si>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</si>
  <si>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</si>
  <si>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</si>
  <si>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</si>
  <si>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</si>
  <si>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</si>
  <si>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</si>
  <si>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</si>
  <si>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</si>
  <si>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</si>
  <si>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</si>
  <si>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</si>
  <si>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</si>
  <si>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</si>
  <si>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</si>
  <si>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</si>
  <si>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</si>
  <si>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</si>
  <si>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</si>
  <si>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</si>
  <si>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</si>
  <si>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</si>
  <si>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</si>
  <si>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</si>
  <si>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</si>
  <si>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</si>
  <si>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</si>
  <si>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</si>
  <si>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</si>
  <si>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</si>
  <si>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</si>
  <si>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</si>
  <si>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</si>
  <si>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</si>
  <si>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</si>
  <si>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</si>
  <si>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</si>
  <si>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</si>
  <si>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</si>
  <si>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</si>
  <si>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</si>
  <si>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</si>
  <si>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</si>
  <si>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</si>
  <si>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</si>
  <si>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</si>
  <si>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</si>
  <si>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</si>
  <si>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</si>
  <si>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</si>
  <si>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</si>
  <si>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</si>
  <si>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</si>
  <si>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</si>
  <si>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</si>
  <si>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</si>
  <si>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</si>
  <si>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</si>
  <si>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</si>
  <si>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</si>
  <si>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</si>
  <si>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</si>
  <si>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</si>
  <si>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</si>
  <si>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</si>
  <si>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</si>
  <si>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</si>
  <si>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</si>
  <si>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</si>
  <si>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</si>
  <si>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</si>
  <si>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</si>
  <si>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</si>
  <si>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</si>
  <si>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</si>
  <si>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</si>
  <si>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</si>
  <si>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</si>
  <si>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</si>
  <si>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</si>
  <si>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</si>
  <si>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</si>
  <si>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</si>
  <si>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</si>
  <si>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</si>
  <si>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</si>
  <si>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</si>
  <si>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</si>
  <si>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</si>
  <si>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</si>
  <si>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</si>
  <si>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</si>
  <si>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</si>
  <si>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</si>
  <si>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</si>
  <si>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</si>
  <si>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</si>
  <si>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</si>
  <si>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</si>
  <si>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</si>
  <si>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</si>
  <si>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</si>
  <si>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</si>
  <si>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</si>
  <si>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</si>
  <si>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</si>
  <si>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</si>
  <si>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</si>
  <si>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</si>
  <si>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</si>
  <si>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</si>
  <si>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</si>
  <si>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</si>
  <si>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</si>
  <si>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</si>
  <si>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</si>
  <si>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</si>
  <si>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</si>
  <si>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</si>
  <si>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</si>
  <si>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</si>
  <si>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</si>
  <si>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</si>
  <si>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</si>
  <si>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</si>
  <si>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</si>
  <si>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</si>
  <si>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</si>
  <si>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</si>
  <si>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</si>
  <si>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</si>
  <si>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</si>
  <si>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</si>
  <si>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</si>
  <si>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</si>
  <si>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</si>
  <si>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</si>
  <si>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</si>
  <si>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</si>
  <si>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</si>
  <si>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</si>
  <si>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</si>
  <si>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</si>
  <si>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</si>
  <si>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</si>
  <si>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</si>
  <si>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</si>
  <si>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</si>
  <si>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</si>
  <si>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</si>
  <si>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</si>
  <si>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</si>
  <si>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</si>
  <si>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</si>
  <si>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</si>
  <si>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</si>
  <si>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</si>
  <si>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</si>
  <si>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</si>
  <si>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</si>
  <si>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</si>
  <si>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</si>
  <si>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</si>
  <si>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</si>
  <si>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</si>
  <si>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</si>
  <si>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</si>
  <si>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</si>
  <si>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</si>
  <si>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</si>
  <si>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</si>
  <si>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</si>
  <si>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</si>
  <si>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</si>
  <si>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</si>
  <si>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</si>
  <si>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</si>
  <si>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</si>
  <si>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</si>
  <si>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</si>
  <si>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</si>
  <si>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</si>
  <si>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</si>
  <si>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</si>
  <si>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</si>
  <si>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</si>
  <si>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</si>
  <si>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</si>
  <si>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</si>
  <si>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</si>
  <si>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</si>
  <si>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</si>
  <si>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</si>
  <si>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</si>
  <si>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</si>
  <si>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</si>
  <si>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</si>
  <si>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</si>
  <si>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</si>
  <si>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</si>
  <si>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</si>
  <si>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</si>
  <si>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</si>
  <si>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</si>
  <si>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</si>
  <si>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</si>
  <si>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</si>
  <si>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</si>
  <si>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</si>
  <si>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</si>
  <si>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</si>
  <si>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</si>
  <si>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</si>
  <si>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</si>
  <si>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</si>
  <si>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</si>
  <si>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</si>
  <si>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</si>
  <si>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</si>
  <si>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</si>
  <si>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</si>
  <si>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</si>
  <si>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</si>
  <si>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</si>
  <si>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</si>
  <si>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</si>
  <si>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</si>
  <si>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</si>
  <si>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</si>
  <si>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</si>
  <si>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</si>
  <si>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</si>
  <si>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</si>
  <si>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</si>
  <si>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</si>
  <si>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</si>
  <si>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</si>
  <si>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</si>
  <si>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</si>
  <si>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</si>
  <si>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</si>
  <si>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</si>
  <si>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</si>
  <si>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</si>
  <si>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</si>
  <si>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</si>
  <si>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</si>
  <si>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</si>
  <si>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</si>
  <si>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</si>
  <si>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</si>
  <si>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</si>
  <si>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</si>
  <si>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</si>
  <si>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</si>
  <si>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</si>
  <si>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</si>
  <si>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</si>
  <si>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</si>
  <si>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</si>
  <si>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</si>
  <si>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</si>
  <si>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</si>
  <si>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</si>
  <si>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</si>
  <si>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</si>
  <si>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</si>
  <si>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</si>
  <si>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</si>
  <si>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</si>
  <si>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</si>
  <si>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</si>
  <si>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</si>
  <si>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</si>
  <si>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</si>
  <si>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</si>
  <si>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</si>
  <si>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</si>
  <si>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</si>
  <si>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</si>
  <si>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</si>
  <si>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</si>
  <si>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</si>
  <si>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</si>
  <si>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</si>
  <si>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</si>
  <si>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</si>
  <si>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</si>
  <si>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</si>
  <si>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</si>
  <si>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</si>
  <si>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</si>
  <si>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</si>
  <si>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</si>
  <si>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</si>
  <si>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</si>
  <si>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</si>
  <si>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</si>
  <si>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</si>
  <si>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</si>
  <si>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</si>
  <si>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</si>
  <si>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</si>
  <si>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</si>
  <si>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</si>
  <si>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</si>
  <si>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</si>
  <si>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</si>
  <si>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</si>
  <si>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</si>
  <si>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</si>
  <si>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</si>
  <si>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</si>
  <si>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</si>
  <si>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</si>
  <si>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</si>
  <si>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</si>
  <si>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</si>
  <si>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</si>
  <si>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</si>
  <si>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</si>
  <si>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</si>
  <si>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</si>
  <si>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</si>
  <si>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</si>
  <si>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</si>
  <si>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</si>
  <si>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</si>
  <si>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</si>
  <si>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</si>
  <si>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</si>
  <si>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</si>
  <si>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</si>
  <si>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</si>
  <si>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</si>
  <si>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</si>
  <si>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</si>
  <si>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</si>
  <si>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</si>
  <si>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</si>
  <si>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</si>
  <si>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</si>
  <si>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</si>
  <si>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</si>
  <si>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</si>
  <si>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</si>
  <si>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</si>
  <si>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</si>
  <si>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</si>
  <si>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</si>
  <si>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</si>
  <si>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</si>
  <si>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</si>
  <si>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</si>
  <si>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</si>
  <si>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</si>
  <si>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</si>
  <si>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</si>
  <si>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</si>
  <si>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</si>
  <si>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</si>
  <si>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</si>
  <si>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</si>
  <si>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</si>
  <si>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</si>
  <si>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</si>
  <si>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</si>
  <si>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</si>
  <si>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</si>
  <si>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</si>
  <si>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</si>
  <si>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</si>
  <si>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</si>
  <si>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</si>
  <si>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</si>
  <si>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</si>
  <si>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</si>
  <si>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</si>
  <si>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</si>
  <si>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</si>
  <si>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</si>
  <si>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</si>
  <si>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</si>
  <si>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</si>
  <si>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</si>
  <si>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</si>
  <si>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</si>
  <si>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</si>
  <si>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</si>
  <si>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</si>
  <si>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</si>
  <si>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</si>
  <si>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</si>
  <si>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</si>
  <si>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</si>
  <si>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</si>
  <si>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</si>
  <si>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</si>
  <si>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</si>
  <si>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</si>
  <si>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</si>
  <si>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</si>
  <si>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</si>
  <si>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</si>
  <si>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</si>
  <si>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</si>
  <si>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</si>
  <si>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</si>
  <si>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</si>
  <si>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</si>
  <si>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</si>
  <si>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</si>
  <si>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</si>
  <si>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</si>
  <si>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</si>
  <si>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</si>
  <si>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</si>
  <si>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</si>
  <si>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</si>
  <si>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</si>
  <si>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</si>
  <si>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</si>
  <si>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</si>
  <si>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</si>
  <si>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</si>
  <si>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</si>
  <si>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</si>
  <si>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</si>
  <si>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</si>
  <si>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</si>
  <si>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</si>
  <si>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</si>
  <si>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</si>
  <si>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</si>
  <si>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</si>
  <si>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</si>
  <si>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</si>
  <si>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</si>
  <si>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</si>
  <si>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</si>
  <si>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</si>
  <si>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</si>
  <si>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</si>
  <si>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</si>
  <si>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</si>
  <si>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</si>
  <si>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</si>
  <si>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</si>
  <si>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</si>
  <si>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</si>
  <si>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</si>
  <si>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</si>
  <si>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</si>
  <si>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</si>
  <si>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</si>
  <si>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</si>
  <si>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</si>
  <si>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</si>
  <si>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</si>
  <si>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</si>
  <si>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</si>
  <si>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</si>
  <si>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</si>
  <si>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</si>
  <si>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</si>
  <si>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</si>
  <si>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</si>
  <si>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</si>
  <si>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</si>
  <si>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</si>
  <si>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</si>
  <si>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</si>
  <si>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</si>
  <si>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</si>
  <si>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</si>
  <si>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</si>
  <si>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</si>
  <si>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</si>
  <si>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</si>
  <si>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</si>
  <si>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</si>
  <si>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</si>
  <si>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</si>
  <si>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</si>
  <si>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</si>
  <si>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</si>
  <si>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</si>
  <si>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</si>
  <si>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</si>
  <si>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</si>
  <si>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</si>
  <si>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</si>
  <si>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</si>
  <si>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</si>
  <si>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</si>
  <si>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</si>
  <si>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</si>
  <si>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</si>
  <si>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</si>
  <si>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</si>
  <si>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</si>
  <si>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</si>
  <si>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</si>
  <si>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</si>
  <si>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</si>
  <si>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</si>
  <si>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</si>
  <si>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</si>
  <si>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</si>
  <si>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</si>
  <si>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</si>
  <si>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</si>
  <si>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</si>
  <si>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</si>
  <si>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</si>
  <si>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</si>
  <si>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</si>
  <si>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</si>
  <si>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</si>
  <si>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</si>
  <si>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</si>
  <si>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</si>
  <si>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</si>
  <si>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</si>
  <si>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</si>
  <si>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</si>
  <si>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</si>
  <si>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</si>
  <si>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</si>
  <si>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</si>
  <si>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</si>
  <si>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</si>
  <si>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</si>
  <si>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</si>
  <si>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</si>
  <si>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</si>
  <si>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</si>
  <si>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</si>
  <si>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</si>
  <si>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</si>
  <si>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</si>
  <si>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</si>
  <si>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</si>
  <si>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</si>
  <si>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</si>
  <si>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</si>
  <si>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</si>
  <si>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</si>
  <si>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</si>
  <si>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</si>
  <si>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</si>
  <si>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</si>
  <si>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</si>
  <si>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</si>
  <si>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</si>
  <si>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</si>
  <si>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</si>
  <si>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</si>
  <si>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</si>
  <si>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</si>
  <si>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</si>
  <si>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</si>
  <si>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</si>
  <si>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</si>
  <si>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</si>
  <si>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</si>
  <si>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</si>
  <si>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</si>
  <si>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</si>
  <si>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</si>
  <si>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</si>
  <si>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</si>
  <si>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</si>
  <si>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</si>
  <si>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</si>
  <si>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</si>
  <si>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</si>
  <si>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</si>
  <si>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</si>
  <si>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</si>
  <si>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</si>
  <si>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</si>
  <si>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</si>
  <si>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</si>
  <si>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</si>
  <si>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</si>
  <si>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</si>
  <si>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</si>
  <si>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</si>
  <si>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</si>
  <si>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</si>
  <si>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</si>
  <si>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</si>
  <si>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</si>
  <si>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</si>
  <si>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</si>
  <si>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</si>
  <si>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</si>
  <si>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</si>
  <si>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</si>
  <si>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</si>
  <si>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</si>
  <si>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</si>
  <si>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</si>
  <si>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</si>
  <si>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</si>
  <si>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</si>
  <si>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</si>
  <si>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</si>
  <si>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</si>
  <si>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</si>
  <si>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</si>
  <si>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</si>
  <si>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</si>
  <si>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</si>
  <si>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</si>
  <si>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</si>
  <si>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</si>
  <si>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</si>
  <si>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</si>
  <si>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</si>
  <si>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</si>
  <si>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</si>
  <si>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</si>
  <si>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</si>
  <si>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</si>
  <si>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</si>
  <si>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</si>
  <si>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</si>
  <si>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</si>
  <si>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</si>
  <si>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</si>
  <si>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</si>
  <si>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</si>
  <si>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</si>
  <si>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</si>
  <si>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</si>
  <si>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</si>
  <si>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</si>
  <si>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</si>
  <si>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</si>
  <si>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</si>
  <si>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</si>
  <si>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</si>
  <si>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Invertébrés 19/11/2018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</si>
  <si>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</si>
  <si>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</si>
  <si>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</si>
  <si>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</si>
  <si>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</si>
  <si>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</si>
  <si>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</si>
  <si>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</si>
  <si>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</si>
  <si>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</si>
  <si>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</si>
  <si>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</si>
  <si>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</si>
  <si>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</si>
  <si>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</si>
  <si>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</si>
  <si>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</si>
  <si>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</si>
  <si>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</si>
  <si>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</si>
  <si>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</si>
  <si>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</si>
  <si>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</si>
  <si>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</si>
  <si>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</si>
  <si>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LATITUDE</t>
  </si>
  <si>
    <t>LONGITUDE</t>
  </si>
  <si>
    <t>reseau</t>
  </si>
  <si>
    <t>LOCALISATION PRECISE</t>
  </si>
  <si>
    <t>autre reseau</t>
  </si>
  <si>
    <t>HER</t>
  </si>
  <si>
    <t>TYPE</t>
  </si>
  <si>
    <t>MASSE D'EAU</t>
  </si>
  <si>
    <t>DEPARTEMENT</t>
  </si>
  <si>
    <t>N°Compteur</t>
  </si>
  <si>
    <t>N°Rapport essai</t>
  </si>
  <si>
    <t>RCS</t>
  </si>
  <si>
    <t>07</t>
  </si>
  <si>
    <t>01</t>
  </si>
  <si>
    <t>RRP</t>
  </si>
  <si>
    <t>TP3</t>
  </si>
  <si>
    <t>RCO</t>
  </si>
  <si>
    <t>TP17</t>
  </si>
  <si>
    <t>M15-17/3-21</t>
  </si>
  <si>
    <t>M3</t>
  </si>
  <si>
    <t>P21</t>
  </si>
  <si>
    <t/>
  </si>
  <si>
    <t>06051350</t>
  </si>
  <si>
    <t>ROCHEFORT</t>
  </si>
  <si>
    <t>ROCHEFORT à LES-ARDILLATS</t>
  </si>
  <si>
    <t>LES-ARDILLATS</t>
  </si>
  <si>
    <t>amont passerelle  de la Roche Gonin et du ru de la Poye au lieu dit la Roche</t>
  </si>
  <si>
    <t>06074500</t>
  </si>
  <si>
    <t>TILLET</t>
  </si>
  <si>
    <t>TILLET à AIX-LES-BAINS-3</t>
  </si>
  <si>
    <t>AIX-LES-BAINS</t>
  </si>
  <si>
    <t>amont lac du bourget</t>
  </si>
  <si>
    <t>FRDR1491</t>
  </si>
  <si>
    <t>06086100</t>
  </si>
  <si>
    <t>ANGE</t>
  </si>
  <si>
    <t>ANGE à BRION</t>
  </si>
  <si>
    <t>BRION</t>
  </si>
  <si>
    <t>01063</t>
  </si>
  <si>
    <t>150m amont pont D18c</t>
  </si>
  <si>
    <t>FRDR1414</t>
  </si>
  <si>
    <t>06137000</t>
  </si>
  <si>
    <t>ARLY</t>
  </si>
  <si>
    <t>L'ARLY à CESARCHES</t>
  </si>
  <si>
    <t>PALLUD</t>
  </si>
  <si>
    <t>Amont Pont D 118</t>
  </si>
  <si>
    <t>GM5/2</t>
  </si>
  <si>
    <t>FRDR362b</t>
  </si>
  <si>
    <t>06137200</t>
  </si>
  <si>
    <t>ISERE</t>
  </si>
  <si>
    <t>ISERE A GRESY-SUR-ISERE</t>
  </si>
  <si>
    <t>AITON</t>
  </si>
  <si>
    <t>73007</t>
  </si>
  <si>
    <t xml:space="preserve">Aval pont D222 </t>
  </si>
  <si>
    <t>TG5/2</t>
  </si>
  <si>
    <t>FRDR354b</t>
  </si>
  <si>
    <t>06140010</t>
  </si>
  <si>
    <t>BREDA</t>
  </si>
  <si>
    <t>BREDA A ALLEVARD 1</t>
  </si>
  <si>
    <t>ALLEVARD</t>
  </si>
  <si>
    <t>38006</t>
  </si>
  <si>
    <t>Aval du bout du monde et service technique</t>
  </si>
  <si>
    <t>MP2</t>
  </si>
  <si>
    <t>FRDR356</t>
  </si>
  <si>
    <t>06143950</t>
  </si>
  <si>
    <t>ROMANCHE</t>
  </si>
  <si>
    <t>ROMANCHE A BOURG D'OISANS - LE PONT ROUGE</t>
  </si>
  <si>
    <t>LE BOURG-D'OISANS</t>
  </si>
  <si>
    <t>38052</t>
  </si>
  <si>
    <t>Aval station d'épuration, amont Eaud'Olle et Pont rouge D526</t>
  </si>
  <si>
    <t>G2</t>
  </si>
  <si>
    <t>FRDR329b</t>
  </si>
  <si>
    <t>06154250</t>
  </si>
  <si>
    <t>BONNE</t>
  </si>
  <si>
    <t>BONNE A VALBONNAIS</t>
  </si>
  <si>
    <t>VALBONNAIS</t>
  </si>
  <si>
    <t>Pont des Fayettes</t>
  </si>
  <si>
    <t>FRDR345</t>
  </si>
  <si>
    <t>06092130</t>
  </si>
  <si>
    <t>YZERON</t>
  </si>
  <si>
    <t>L'YZERON A OULLINS 2</t>
  </si>
  <si>
    <t>OULLINS</t>
  </si>
  <si>
    <t>Amont confluence</t>
  </si>
  <si>
    <t>FRDR482b</t>
  </si>
  <si>
    <t>06103500</t>
  </si>
  <si>
    <t>CANCE</t>
  </si>
  <si>
    <t>CANCE A SARRAS</t>
  </si>
  <si>
    <t>SARRAS</t>
  </si>
  <si>
    <t>07009</t>
  </si>
  <si>
    <t>Aval pont D270</t>
  </si>
  <si>
    <t>FRDR460</t>
  </si>
  <si>
    <t>06109050</t>
  </si>
  <si>
    <t>DRÔME</t>
  </si>
  <si>
    <t>DRÔME à CHARENS 2</t>
  </si>
  <si>
    <t>CHARENS</t>
  </si>
  <si>
    <t>Amont exutoire du marais de Bouligons</t>
  </si>
  <si>
    <t>GMP7</t>
  </si>
  <si>
    <t>FRDR442</t>
  </si>
  <si>
    <t>06109100</t>
  </si>
  <si>
    <t>DRÔME à LIVRON SUR DRÔME</t>
  </si>
  <si>
    <t>LIVRON SUR DRÔME</t>
  </si>
  <si>
    <t>pont SNCF</t>
  </si>
  <si>
    <t>GM6/2-7</t>
  </si>
  <si>
    <t>FRDR438a</t>
  </si>
  <si>
    <t>06115080</t>
  </si>
  <si>
    <t>IBIE</t>
  </si>
  <si>
    <t>IBIE à VALLON PONT D'ARC</t>
  </si>
  <si>
    <t>VALLON PONT D'ARC</t>
  </si>
  <si>
    <t>07126</t>
  </si>
  <si>
    <t>lieu dit champ serrier, amont lagorce 300m aval pont D558</t>
  </si>
  <si>
    <t>MP6</t>
  </si>
  <si>
    <t>FRDR412</t>
  </si>
  <si>
    <t>06115090</t>
  </si>
  <si>
    <t>ARDECHE</t>
  </si>
  <si>
    <t>ARDECHE à VALLON PONT D'ARC</t>
  </si>
  <si>
    <t>07330</t>
  </si>
  <si>
    <t>Aval Camping PTT</t>
  </si>
  <si>
    <t>GM6/8</t>
  </si>
  <si>
    <t>06133000</t>
  </si>
  <si>
    <t>ISERE A SEEZ</t>
  </si>
  <si>
    <t>SEEZ</t>
  </si>
  <si>
    <t>200m amont pont de longefoix</t>
  </si>
  <si>
    <t>FRDR372</t>
  </si>
  <si>
    <t>06133350</t>
  </si>
  <si>
    <t>DORON DE PROLOGNAN</t>
  </si>
  <si>
    <t>DORON DE PROLOGNAN à LE PLANAY</t>
  </si>
  <si>
    <t>PLANAY</t>
  </si>
  <si>
    <t>200m amont pont de la Novaz</t>
  </si>
  <si>
    <t>FRDR368a</t>
  </si>
  <si>
    <t>06141520</t>
  </si>
  <si>
    <t>RUISSEAU DU CROP</t>
  </si>
  <si>
    <t>RUISSEAU DU CROP à LAVAL</t>
  </si>
  <si>
    <t>LAVAL</t>
  </si>
  <si>
    <t>En amont du hameau de la boutière au lieu dit le pontat</t>
  </si>
  <si>
    <t>TP2</t>
  </si>
  <si>
    <t>FRDR10880</t>
  </si>
  <si>
    <t>06320220</t>
  </si>
  <si>
    <t>DURLANDE</t>
  </si>
  <si>
    <t>DURLANDE à ST ETIENNE DU BOIS</t>
  </si>
  <si>
    <t xml:space="preserve"> ST ETIENNE DU BOIS</t>
  </si>
  <si>
    <t>01350</t>
  </si>
  <si>
    <t>amont pont D1083, en sous-bois</t>
  </si>
  <si>
    <t>TP15</t>
  </si>
  <si>
    <t>FRDR11499</t>
  </si>
  <si>
    <t>06580075</t>
  </si>
  <si>
    <t>AY</t>
  </si>
  <si>
    <t>AY à SARRAS 2</t>
  </si>
  <si>
    <t>07308</t>
  </si>
  <si>
    <t>Aval moulin du cours</t>
  </si>
  <si>
    <t>FRDR459</t>
  </si>
  <si>
    <t>06580274</t>
  </si>
  <si>
    <t>LIGNE</t>
  </si>
  <si>
    <t>LIGNE à CHAUZON 2</t>
  </si>
  <si>
    <t>CHAUZON</t>
  </si>
  <si>
    <t>07115</t>
  </si>
  <si>
    <t>Lieu dit Chareillac</t>
  </si>
  <si>
    <t>PTP8</t>
  </si>
  <si>
    <t>FRDR11194</t>
  </si>
  <si>
    <t>06800000</t>
  </si>
  <si>
    <t>PISSEUR</t>
  </si>
  <si>
    <t>PISSEUR à LA TRANCLIERE</t>
  </si>
  <si>
    <t>La TRANCLIERE</t>
  </si>
  <si>
    <t>01425</t>
  </si>
  <si>
    <t>Petit pont lieu dit le buisson</t>
  </si>
  <si>
    <t>06820013</t>
  </si>
  <si>
    <t>OUVEZE</t>
  </si>
  <si>
    <t>OUVEZE à ROMPON 2</t>
  </si>
  <si>
    <t>ROMPON</t>
  </si>
  <si>
    <t>07181</t>
  </si>
  <si>
    <t>Lit dit les Clos</t>
  </si>
  <si>
    <t>FRDR1320c</t>
  </si>
  <si>
    <t>06070100</t>
  </si>
  <si>
    <t>FIER</t>
  </si>
  <si>
    <t>FIER à POISY</t>
  </si>
  <si>
    <t>LOVAGNY</t>
  </si>
  <si>
    <t>Dans le TCC de Chavaroche, 900m en aval du barrage</t>
  </si>
  <si>
    <t>G5</t>
  </si>
  <si>
    <t>FRDR530</t>
  </si>
  <si>
    <t>06071900</t>
  </si>
  <si>
    <t>FIER à MOTZ</t>
  </si>
  <si>
    <t>SEYSSEL</t>
  </si>
  <si>
    <t>Aval immédiat des gorges au droit du lotissement EDF</t>
  </si>
  <si>
    <t>06073500</t>
  </si>
  <si>
    <t>LEYSSE</t>
  </si>
  <si>
    <t>LEYSSE à LE-BOURGET-DU-LAC</t>
  </si>
  <si>
    <t>LE BOURGET DU LAC</t>
  </si>
  <si>
    <t>Pont du chemin de Paillere. Passerelle de l'ancienne gendarmerie</t>
  </si>
  <si>
    <t>M5</t>
  </si>
  <si>
    <t>FRDR527b</t>
  </si>
  <si>
    <t>06076720</t>
  </si>
  <si>
    <t>FURANS</t>
  </si>
  <si>
    <t>FURANS à LA BURBANCHE</t>
  </si>
  <si>
    <t>LA BURBANCHE</t>
  </si>
  <si>
    <t>01066</t>
  </si>
  <si>
    <t>N504</t>
  </si>
  <si>
    <t>FRDR520</t>
  </si>
  <si>
    <t>06077000</t>
  </si>
  <si>
    <t>FURANS à BELLEY 1</t>
  </si>
  <si>
    <t>BRENS</t>
  </si>
  <si>
    <t>01061</t>
  </si>
  <si>
    <t>Pont D992</t>
  </si>
  <si>
    <t>FRDR519</t>
  </si>
  <si>
    <t>06106030</t>
  </si>
  <si>
    <t>DOUX</t>
  </si>
  <si>
    <t>DOUX à ST-JEAN-de-MUZOLS</t>
  </si>
  <si>
    <t>SAINT-JEAN-DE-MUZOLS</t>
  </si>
  <si>
    <t>07245</t>
  </si>
  <si>
    <t>En amont de la confluence avec le Duzon - Aval pont SNCF</t>
  </si>
  <si>
    <t>GM8</t>
  </si>
  <si>
    <t>FRDR452</t>
  </si>
  <si>
    <t>06107900</t>
  </si>
  <si>
    <t>EYRIEUX</t>
  </si>
  <si>
    <t>EYRIEUX à BEAUCHASTEL</t>
  </si>
  <si>
    <t>BEAUCHASTEL</t>
  </si>
  <si>
    <t>07027</t>
  </si>
  <si>
    <t>Pont de Beauchastel en amont de la voie ferrée</t>
  </si>
  <si>
    <t>FRDR444b</t>
  </si>
  <si>
    <t>06114450</t>
  </si>
  <si>
    <t>ARDECHE à VOGUE 1</t>
  </si>
  <si>
    <t>VOGUE</t>
  </si>
  <si>
    <t>07348</t>
  </si>
  <si>
    <t>300m amont vieux pont</t>
  </si>
  <si>
    <t>FRDR411a</t>
  </si>
  <si>
    <t>06114800</t>
  </si>
  <si>
    <t>BORNE</t>
  </si>
  <si>
    <t>BORNE à ST LAURENT DES BAINS 2</t>
  </si>
  <si>
    <t>SAINT-LAURENT-LES-BAINS</t>
  </si>
  <si>
    <t>07262</t>
  </si>
  <si>
    <t>Amont du pont de Ceytrou</t>
  </si>
  <si>
    <t>FRDR413a</t>
  </si>
  <si>
    <t>06139815</t>
  </si>
  <si>
    <t>GELON</t>
  </si>
  <si>
    <t>GELON à VILLARD-SALLET 2</t>
  </si>
  <si>
    <t>VILLARD-LEGER</t>
  </si>
  <si>
    <t>lieu dit les Baraques</t>
  </si>
  <si>
    <t>FRDR1168b</t>
  </si>
  <si>
    <t>06146660</t>
  </si>
  <si>
    <t>BRUYANT</t>
  </si>
  <si>
    <t>BRUYANT à ENGINS</t>
  </si>
  <si>
    <t>ENGINS</t>
  </si>
  <si>
    <t>Amont immédiat confluence Furon</t>
  </si>
  <si>
    <t>TP5</t>
  </si>
  <si>
    <t>FRDR</t>
  </si>
  <si>
    <t>06147210</t>
  </si>
  <si>
    <t>MEAUDRET</t>
  </si>
  <si>
    <t>MEAUDRET à VILLARD-DE-LANS 3</t>
  </si>
  <si>
    <t>VILLARD-DE-LANS</t>
  </si>
  <si>
    <t>Pont en sortie des Jarrands</t>
  </si>
  <si>
    <t>FRDR318</t>
  </si>
  <si>
    <t>06147840</t>
  </si>
  <si>
    <t>BOURNE</t>
  </si>
  <si>
    <t>BOURNE à CHORANCHE 1</t>
  </si>
  <si>
    <t>CHORANCHE</t>
  </si>
  <si>
    <t>Lieu dit les Millières et camping 500m amont commune</t>
  </si>
  <si>
    <t>FRDR316</t>
  </si>
  <si>
    <t>06300046</t>
  </si>
  <si>
    <t>ROUBION</t>
  </si>
  <si>
    <t>ROUBION à PONT-DE-BARRET</t>
  </si>
  <si>
    <t>PONT-DE-BARRET</t>
  </si>
  <si>
    <t>Pont de la RD310 entre Manas et Pont de Barret</t>
  </si>
  <si>
    <t>TP7</t>
  </si>
  <si>
    <t>FRDR432</t>
  </si>
  <si>
    <t>06580653</t>
  </si>
  <si>
    <t>SURAN</t>
  </si>
  <si>
    <t>SURAN à NEUVILLE-SUR-AIN 2</t>
  </si>
  <si>
    <t>NEUVILLE-SUR-AIN</t>
  </si>
  <si>
    <t>01273</t>
  </si>
  <si>
    <t>Pont de St André aval le Colombier</t>
  </si>
  <si>
    <t>FRDR2015</t>
  </si>
  <si>
    <t>06580839</t>
  </si>
  <si>
    <t>FURON</t>
  </si>
  <si>
    <t>FURON à ENGINS 1</t>
  </si>
  <si>
    <t>1000m aval confluence Bruyant - D531</t>
  </si>
  <si>
    <t>FRDR2020</t>
  </si>
  <si>
    <t>06999107</t>
  </si>
  <si>
    <t>ALLONDON</t>
  </si>
  <si>
    <t>ALLONDON à THOIRY 1</t>
  </si>
  <si>
    <t>THOIRY</t>
  </si>
  <si>
    <t>01419</t>
  </si>
  <si>
    <t>Amont Moulin Fabry - Frontière Franco-suisse</t>
  </si>
  <si>
    <t>FRDR547b</t>
  </si>
  <si>
    <t>06076420</t>
  </si>
  <si>
    <t>SERAN</t>
  </si>
  <si>
    <t>SERAN à CHAMPAGNE EN VALROMEY</t>
  </si>
  <si>
    <t>SUTRIEU</t>
  </si>
  <si>
    <t>01414</t>
  </si>
  <si>
    <t>Pont D31 - lieu dit La Faverge</t>
  </si>
  <si>
    <t>FRDR524</t>
  </si>
  <si>
    <t>b</t>
  </si>
  <si>
    <t>BW</t>
  </si>
  <si>
    <t>Wojtko Bertrand</t>
  </si>
  <si>
    <t>FV</t>
  </si>
  <si>
    <t>Very Franck</t>
  </si>
  <si>
    <t>Autres situations</t>
  </si>
  <si>
    <t>Evènement hydrologique exceptionnel</t>
  </si>
  <si>
    <t>JJL</t>
  </si>
  <si>
    <t>Lepeut Jean-Julien</t>
  </si>
  <si>
    <t>Hautes eaux</t>
  </si>
  <si>
    <t>Evènement hydrologique important</t>
  </si>
  <si>
    <t>4C</t>
  </si>
  <si>
    <t>4B</t>
  </si>
  <si>
    <t>4A</t>
  </si>
  <si>
    <t>++++</t>
  </si>
  <si>
    <t>EC</t>
  </si>
  <si>
    <t>Court Elisabeth</t>
  </si>
  <si>
    <t>x169</t>
  </si>
  <si>
    <t>x7,5</t>
  </si>
  <si>
    <t>NEANT</t>
  </si>
  <si>
    <t>Alcool à 90% minimum</t>
  </si>
  <si>
    <t>Faible</t>
  </si>
  <si>
    <t>Moyennes eaux</t>
  </si>
  <si>
    <t>Evènement hydrologique modéré</t>
  </si>
  <si>
    <t>3C</t>
  </si>
  <si>
    <t>3B</t>
  </si>
  <si>
    <t>3A</t>
  </si>
  <si>
    <t>PhC</t>
  </si>
  <si>
    <t>+++</t>
  </si>
  <si>
    <t>2-4, allée de Lodz - 69363 LYON CEDEX 07</t>
  </si>
  <si>
    <t>Agence de l'eau Rhône-méditerranée-Corse</t>
  </si>
  <si>
    <t>x135</t>
  </si>
  <si>
    <t>x6,3</t>
  </si>
  <si>
    <t>Colonne de Tamis 5mm/2,5mm/1mm/500µm</t>
  </si>
  <si>
    <t>Basses eaux</t>
  </si>
  <si>
    <t>Débit stable</t>
  </si>
  <si>
    <t>2C</t>
  </si>
  <si>
    <t>2B</t>
  </si>
  <si>
    <t>2A</t>
  </si>
  <si>
    <t>PhB</t>
  </si>
  <si>
    <t>++</t>
  </si>
  <si>
    <t>9, avenue Buffon - CS 36339  45063 Orléans Cédex2</t>
  </si>
  <si>
    <t>Agence de l'eau Loire-Bretagne</t>
  </si>
  <si>
    <t>FA</t>
  </si>
  <si>
    <t>Andrieu Freddy</t>
  </si>
  <si>
    <t>5, place Jules Ferry – 69453 Lyon Cedex 06</t>
  </si>
  <si>
    <t>Laboratoire hydrobiologie - Lyon</t>
  </si>
  <si>
    <t>GENIN Brigitte</t>
  </si>
  <si>
    <t>LEPEUT Jean-Julien</t>
  </si>
  <si>
    <t>x80</t>
  </si>
  <si>
    <t>x2</t>
  </si>
  <si>
    <t>Elutriation</t>
  </si>
  <si>
    <t>Bonne</t>
  </si>
  <si>
    <t>Inconnu</t>
  </si>
  <si>
    <t>1C</t>
  </si>
  <si>
    <t>1B</t>
  </si>
  <si>
    <t>1A</t>
  </si>
  <si>
    <t>X</t>
  </si>
  <si>
    <t>PhA</t>
  </si>
  <si>
    <t>+</t>
  </si>
  <si>
    <t>90, rue de Férétra - CS87801 -31078 Toulouse Cedex 4</t>
  </si>
  <si>
    <t>Agence de l'eau Adour-Garonne</t>
  </si>
  <si>
    <t>JA</t>
  </si>
  <si>
    <t>Achard Julien</t>
  </si>
  <si>
    <t>7 rue Léo Lagrange - 63033 Clermont-Ferrand Cedex 01</t>
  </si>
  <si>
    <t>Laboratoire hydrobiologie - Clermont-Ferrand</t>
  </si>
  <si>
    <t>COURT Elisabeth</t>
  </si>
  <si>
    <t>ACHARD Julien</t>
  </si>
  <si>
    <t>grossissement Max</t>
  </si>
  <si>
    <t>grossissement mini</t>
  </si>
  <si>
    <t>Pré-traitement</t>
  </si>
  <si>
    <t>Type de conservation</t>
  </si>
  <si>
    <t>Visibilité du fond</t>
  </si>
  <si>
    <t>Sit, hydro apparente</t>
  </si>
  <si>
    <t>Sit. hydro 6 semaines</t>
  </si>
  <si>
    <t>bocal C</t>
  </si>
  <si>
    <t>bocal B</t>
  </si>
  <si>
    <t>bocal A</t>
  </si>
  <si>
    <t>Croix</t>
  </si>
  <si>
    <t>Heure</t>
  </si>
  <si>
    <t>DateJour</t>
  </si>
  <si>
    <t>Phase</t>
  </si>
  <si>
    <t>N°prelevement</t>
  </si>
  <si>
    <t>recouvrement</t>
  </si>
  <si>
    <t>Adresse</t>
  </si>
  <si>
    <t>Destinataires</t>
  </si>
  <si>
    <t>Initiales</t>
  </si>
  <si>
    <t>Opérateurs Invertébrés</t>
  </si>
  <si>
    <t>Adresses</t>
  </si>
  <si>
    <t>Sites</t>
  </si>
  <si>
    <t>Responsable Laboratoire</t>
  </si>
  <si>
    <t>Responsable Technique Invertébrés</t>
  </si>
  <si>
    <t>SUPPORT</t>
  </si>
  <si>
    <t>Bryophytes</t>
  </si>
  <si>
    <t>(hydrophytes)</t>
  </si>
  <si>
    <t>Débris organiques grossiers</t>
  </si>
  <si>
    <t>(litières)</t>
  </si>
  <si>
    <t>Chevelus racinaires</t>
  </si>
  <si>
    <t>supports ligneux</t>
  </si>
  <si>
    <t>Sédiments minéraux de grande taille</t>
  </si>
  <si>
    <t>(pierres, galets)</t>
  </si>
  <si>
    <t>(25 à 250 mm)</t>
  </si>
  <si>
    <t>Blocs (&gt; 250 mm) inclus dans une</t>
  </si>
  <si>
    <t>matrice d'éléments minéraux</t>
  </si>
  <si>
    <t>de grande taille (25 à 250 mm)</t>
  </si>
  <si>
    <t>Granulats grossiers (graviers)</t>
  </si>
  <si>
    <t>(2 à 25 mm)</t>
  </si>
  <si>
    <t>Spermaphytes émergents</t>
  </si>
  <si>
    <t>de strate basse</t>
  </si>
  <si>
    <t>(hélophytes)</t>
  </si>
  <si>
    <t>Vases : sédiments fins (&lt; 0.1 mm)</t>
  </si>
  <si>
    <t>aves débris organiques fins</t>
  </si>
  <si>
    <t>Sables et limons</t>
  </si>
  <si>
    <t>(&lt; 2 mm)</t>
  </si>
  <si>
    <t>Surfaces uniformes dures naturelles</t>
  </si>
  <si>
    <t>et artificielles (roches, dalles,</t>
  </si>
  <si>
    <t>marnes et argiles compactes)</t>
  </si>
  <si>
    <t>MICROPRELEVEMENT</t>
  </si>
  <si>
    <t>NATURE DU COLMATAGE</t>
  </si>
  <si>
    <t>RAPPORT  D'ESSAI INVERTEBRES  N°</t>
  </si>
  <si>
    <t>LISTE DES SITES ET PORTEES 
DISPONIBLES SUR
WWW.COFRAC.FR</t>
  </si>
  <si>
    <t>DREAL Auvergne-Rhône-Alpes</t>
  </si>
  <si>
    <t>Délivré à :</t>
  </si>
  <si>
    <t>Adresse :</t>
  </si>
  <si>
    <t>Téléphone :</t>
  </si>
  <si>
    <r>
      <t>Contact :</t>
    </r>
    <r>
      <rPr>
        <sz val="11"/>
        <color theme="1"/>
        <rFont val="Calibri"/>
        <family val="2"/>
        <scheme val="minor"/>
      </rPr>
      <t/>
    </r>
  </si>
  <si>
    <t>Analyses effectuées par un laboratoire agréé par le ministère en charge de l'environnement dans les conditions de l'arrêté du 27 octobre 2011</t>
  </si>
  <si>
    <t>Identification précise de l'échantillon laboratoire :</t>
  </si>
  <si>
    <t>Objet soumis à l'essai :</t>
  </si>
  <si>
    <t>Macro-Invertébrés aquatiques</t>
  </si>
  <si>
    <t>Type d'échantillon  :</t>
  </si>
  <si>
    <t>phases A-B- C</t>
  </si>
  <si>
    <t>Nom station :</t>
  </si>
  <si>
    <t>Description du point de prélèvement et de l'opération de prélèvement :</t>
  </si>
  <si>
    <t>Nom de l'organisme préleveur :</t>
  </si>
  <si>
    <t>Méthode de prélèvement :</t>
  </si>
  <si>
    <t>NF T90-333 – Sept 2016</t>
  </si>
  <si>
    <t>Date de prélèvement :</t>
  </si>
  <si>
    <t>Type de conservation avant tri :</t>
  </si>
  <si>
    <t>Situation hydrologique apparente (basses eaux, etc.) :</t>
  </si>
  <si>
    <t>Tendance de variation du débit les 6 semaines précédant le prélèvement :</t>
  </si>
  <si>
    <t>Visibilité du fond moyenne évaluée visuellement :</t>
  </si>
  <si>
    <t>Identité des opérateurs techniques :</t>
  </si>
  <si>
    <r>
      <t>Commentaires de l'opération de prélèvement</t>
    </r>
    <r>
      <rPr>
        <sz val="11"/>
        <rFont val="Arial"/>
        <family val="2"/>
      </rPr>
      <t>(conditions de prélèvement y compris écart au protocole, difficultés à réaliser le plan d'échantillonnage, observation sur le site et son environnement) :</t>
    </r>
  </si>
  <si>
    <t>Opération de tri-détermination</t>
  </si>
  <si>
    <t>Nom de l'organisme :</t>
  </si>
  <si>
    <t xml:space="preserve">Méthode de traitement laboratoire : </t>
  </si>
  <si>
    <t>Identité des opérateurs de détermination :</t>
  </si>
  <si>
    <t>Commentaires :</t>
  </si>
  <si>
    <t>Le Responsable Technique</t>
  </si>
  <si>
    <t>La Responsable du Laboratoire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</si>
  <si>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</si>
  <si>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</si>
  <si>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</si>
  <si>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</si>
  <si>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</si>
  <si>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</si>
  <si>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</si>
  <si>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</si>
  <si>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</si>
  <si>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</si>
  <si>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</si>
  <si>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</si>
  <si>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13000672900029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</si>
  <si>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</si>
  <si>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</si>
  <si>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</si>
  <si>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</si>
  <si>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</si>
  <si>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</si>
  <si>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</si>
  <si>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</si>
  <si>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</si>
  <si>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Initiales opérateurs</t>
  </si>
  <si>
    <t>Nb. total bocaux</t>
  </si>
  <si>
    <t>Observations</t>
  </si>
  <si>
    <t>max</t>
  </si>
  <si>
    <t>Les limites des classes de vitesses sont données à titre indicatif et toutes les mesures sont estimées</t>
  </si>
  <si>
    <t>test P</t>
  </si>
  <si>
    <t>total</t>
  </si>
  <si>
    <t>plus grand</t>
  </si>
  <si>
    <t>phase C</t>
  </si>
  <si>
    <t>phase B</t>
  </si>
  <si>
    <t>phase A</t>
  </si>
  <si>
    <t>prélèv.</t>
  </si>
  <si>
    <t>recouv.</t>
  </si>
  <si>
    <t>Nombre de prélèvements réalisés</t>
  </si>
  <si>
    <t>phase</t>
  </si>
  <si>
    <t>blocs non facilement déplaçables,</t>
  </si>
  <si>
    <t>lavage</t>
  </si>
  <si>
    <t>ou artificielles (roches, dalles,</t>
  </si>
  <si>
    <t>n° prél.</t>
  </si>
  <si>
    <t>filamenteux ("queue de mouton")</t>
  </si>
  <si>
    <t>Bactéries et champignons</t>
  </si>
  <si>
    <t>Vaucheria, Spirogyra….)</t>
  </si>
  <si>
    <t>Algues (Characées, Lemanea</t>
  </si>
  <si>
    <t>élutriation</t>
  </si>
  <si>
    <t>Limons (couche &gt; à 1 cm)</t>
  </si>
  <si>
    <t>Sables (&lt; 2 mm)</t>
  </si>
  <si>
    <t>avec débris organiques fins</t>
  </si>
  <si>
    <t>(&gt; 250 mm)</t>
  </si>
  <si>
    <t>Blocs facilement déplaçables</t>
  </si>
  <si>
    <t>taille (pierres, galets)</t>
  </si>
  <si>
    <t>Sédiments minéraux de grande</t>
  </si>
  <si>
    <t>Racines libres d'hélophytes</t>
  </si>
  <si>
    <t>Substrats ligneux</t>
  </si>
  <si>
    <t>dans l'eau</t>
  </si>
  <si>
    <t>Chevelus racinaires libres</t>
  </si>
  <si>
    <t>N4</t>
  </si>
  <si>
    <t>&gt; ou = 5%</t>
  </si>
  <si>
    <t>&lt; 5 %</t>
  </si>
  <si>
    <t>réalisés</t>
  </si>
  <si>
    <t>sandre</t>
  </si>
  <si>
    <t>prétraitement</t>
  </si>
  <si>
    <t>SUBSTRATS</t>
  </si>
  <si>
    <t>nulle</t>
  </si>
  <si>
    <t>lente</t>
  </si>
  <si>
    <t>moyenne</t>
  </si>
  <si>
    <t>rapide</t>
  </si>
  <si>
    <t>phase 5</t>
  </si>
  <si>
    <t>reste P4</t>
  </si>
  <si>
    <t>phase 4</t>
  </si>
  <si>
    <t>reste P3</t>
  </si>
  <si>
    <t>phase 3</t>
  </si>
  <si>
    <t>reste P2</t>
  </si>
  <si>
    <t>phase 2</t>
  </si>
  <si>
    <t>restes P1</t>
  </si>
  <si>
    <t>phase 1</t>
  </si>
  <si>
    <t>&gt;5 %</t>
  </si>
  <si>
    <t>4 sup</t>
  </si>
  <si>
    <t>1 sup</t>
  </si>
  <si>
    <t>2 sup</t>
  </si>
  <si>
    <t>3 sup</t>
  </si>
  <si>
    <t>&lt;5 %</t>
  </si>
  <si>
    <t>D</t>
  </si>
  <si>
    <t>M</t>
  </si>
  <si>
    <t>prél.</t>
  </si>
  <si>
    <t>total C</t>
  </si>
  <si>
    <t>total B</t>
  </si>
  <si>
    <t>total A</t>
  </si>
  <si>
    <t>V &lt; 5</t>
  </si>
  <si>
    <t>25 &gt; V &gt;= 5</t>
  </si>
  <si>
    <t>75 &gt; V &gt;= 25</t>
  </si>
  <si>
    <t>&gt;= 75</t>
  </si>
  <si>
    <t>Phase 3</t>
  </si>
  <si>
    <t>Phase 2</t>
  </si>
  <si>
    <t>Phase 1</t>
  </si>
  <si>
    <t>Phase C</t>
  </si>
  <si>
    <t>Phase B</t>
  </si>
  <si>
    <t>Phase A</t>
  </si>
  <si>
    <t>Nb. De</t>
  </si>
  <si>
    <t>% de recouvr. ou P</t>
  </si>
  <si>
    <t>cm/s</t>
  </si>
  <si>
    <t>V en</t>
  </si>
  <si>
    <t>CLASSES DE VITESSES SUPERFICIELLES</t>
  </si>
  <si>
    <t>tests d'erreurs</t>
  </si>
  <si>
    <t>………………………………</t>
  </si>
  <si>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  <charset val="1"/>
      </rPr>
      <t>2</t>
    </r>
  </si>
  <si>
    <t>Superficie maximale d'un substrat marginal (Smarg = Sm * 0.05) :</t>
  </si>
  <si>
    <t>: ……………………</t>
  </si>
  <si>
    <t>Autres</t>
  </si>
  <si>
    <t>Difficile (préciser pourquoi) :</t>
  </si>
  <si>
    <t>HAV</t>
  </si>
  <si>
    <t>Haveneau (H) :</t>
  </si>
  <si>
    <t>Superficie au miroir du point de prélèvement (Sm =Lt * Lm) :</t>
  </si>
  <si>
    <t>Pluie fine</t>
  </si>
  <si>
    <t>Facile</t>
  </si>
  <si>
    <t>TAM</t>
  </si>
  <si>
    <t>Tamis 500µ :</t>
  </si>
  <si>
    <t>m</t>
  </si>
  <si>
    <t>Longueur totale du point de prélèvement (Lt) :</t>
  </si>
  <si>
    <t>Temps humide</t>
  </si>
  <si>
    <t>SUR</t>
  </si>
  <si>
    <t>Surber  :</t>
  </si>
  <si>
    <t>Largeur au miroir  moyenne (Lm) :</t>
  </si>
  <si>
    <t>Sec fortement nuageux</t>
  </si>
  <si>
    <t>Conditions de prélèvement</t>
  </si>
  <si>
    <t>Contrôle matériel</t>
  </si>
  <si>
    <t>Largeur plein bord moyenne (Lpb) :</t>
  </si>
  <si>
    <t>Sec faiblement nuageux</t>
  </si>
  <si>
    <t>…..</t>
  </si>
  <si>
    <t>Echelle :</t>
  </si>
  <si>
    <t>Evènement hydro. Exceptionnel</t>
  </si>
  <si>
    <t>Sec ensoleillé</t>
  </si>
  <si>
    <t>……………………………………</t>
  </si>
  <si>
    <t>Matériel</t>
  </si>
  <si>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  <charset val="1"/>
      </rPr>
      <t>3</t>
    </r>
    <r>
      <rPr>
        <sz val="11"/>
        <color theme="1"/>
        <rFont val="Calibri"/>
        <family val="2"/>
        <scheme val="minor"/>
      </rPr>
      <t>/s</t>
    </r>
  </si>
  <si>
    <t>Débit :</t>
  </si>
  <si>
    <t>Evènement hydro. Important</t>
  </si>
  <si>
    <t>Autres situations ( à préciser ) :</t>
  </si>
  <si>
    <t>Evènement hydro. Modéré</t>
  </si>
  <si>
    <t>Météo</t>
  </si>
  <si>
    <t>Y :</t>
  </si>
  <si>
    <t>Etude</t>
  </si>
  <si>
    <t>Instable</t>
  </si>
  <si>
    <t>X :</t>
  </si>
  <si>
    <t>Moyennement stable</t>
  </si>
  <si>
    <t>aval</t>
  </si>
  <si>
    <t>amont</t>
  </si>
  <si>
    <t>RCS-RCO</t>
  </si>
  <si>
    <t>Stable</t>
  </si>
  <si>
    <t>WGS84</t>
  </si>
  <si>
    <t>Lambert 93 (m)</t>
  </si>
  <si>
    <t>Des 6 semaines avant prélèvement</t>
  </si>
  <si>
    <t>Coordonnées</t>
  </si>
  <si>
    <t>Finalité</t>
  </si>
  <si>
    <t>Estimation situation hydrologique</t>
  </si>
  <si>
    <t>Stabilité du substrat</t>
  </si>
  <si>
    <t>Situation hydrologique apparente</t>
  </si>
  <si>
    <t>Ethanol</t>
  </si>
  <si>
    <t>Conservateur</t>
  </si>
  <si>
    <t>Localisation :</t>
  </si>
  <si>
    <t>Heure :</t>
  </si>
  <si>
    <t>Date prélèvement :</t>
  </si>
  <si>
    <t>Code station :</t>
  </si>
  <si>
    <t>Cours d'eau :</t>
  </si>
  <si>
    <t>fin</t>
  </si>
  <si>
    <t>début</t>
  </si>
  <si>
    <r>
      <t xml:space="preserve">GRILLE D’ECHANTILLONNAGE MACRO-INVERTEBRES </t>
    </r>
    <r>
      <rPr>
        <b/>
        <sz val="13"/>
        <rFont val="Times New Roman"/>
        <family val="1"/>
        <charset val="1"/>
      </rPr>
      <t>Prélèvement de macro-invertébrés en rivière peu profonde (norme AFNOR NF T 90-333)</t>
    </r>
  </si>
  <si>
    <t>elisabeth.court@developpement-durable.gouv.fr</t>
  </si>
  <si>
    <t>brigitte.genin@developpement-durable.gouv.fr</t>
  </si>
  <si>
    <t>04 73 17 37 30</t>
  </si>
  <si>
    <t>04 26 28 66 35</t>
  </si>
  <si>
    <t>tel</t>
  </si>
  <si>
    <t>contact</t>
  </si>
  <si>
    <t>08/09</t>
  </si>
  <si>
    <t>02</t>
  </si>
  <si>
    <t>04</t>
  </si>
  <si>
    <t>Largeurs plein bord</t>
  </si>
  <si>
    <t>largeurs mouillée</t>
  </si>
  <si>
    <t>longueurs</t>
  </si>
  <si>
    <t>FRGR1496</t>
  </si>
  <si>
    <t>SIOULE</t>
  </si>
  <si>
    <t>M21</t>
  </si>
  <si>
    <t>LIGNON</t>
  </si>
  <si>
    <t>Longueur totale</t>
  </si>
  <si>
    <t>Longueur théorique</t>
  </si>
  <si>
    <t>06049000</t>
  </si>
  <si>
    <t>VEYLE A GRIEGES</t>
  </si>
  <si>
    <t>06057200</t>
  </si>
  <si>
    <t>TURDINE A L'ARBRESLE</t>
  </si>
  <si>
    <t>06057700</t>
  </si>
  <si>
    <t>AZERGUES A LUCENAY</t>
  </si>
  <si>
    <t>06062400</t>
  </si>
  <si>
    <t>FORON DE TANINGES A TANINGES 2</t>
  </si>
  <si>
    <t>06067760</t>
  </si>
  <si>
    <t>SEMINE A BELLEYDOUX</t>
  </si>
  <si>
    <t>06067802</t>
  </si>
  <si>
    <t>VALSERINE A LAJOUX 3</t>
  </si>
  <si>
    <t>06080976</t>
  </si>
  <si>
    <t>HIEN A DOISSIN</t>
  </si>
  <si>
    <t>06080978</t>
  </si>
  <si>
    <t>HIEN A CESSIEU</t>
  </si>
  <si>
    <t>06101905</t>
  </si>
  <si>
    <t>CANCE A ST-JULIEN-VOCANCE 4</t>
  </si>
  <si>
    <t>06114155</t>
  </si>
  <si>
    <t>LIGNON A LA-SOUCHE</t>
  </si>
  <si>
    <t>06133330</t>
  </si>
  <si>
    <t>DORON DE CHAMPAGNY A CHAMPAGNY-EN-VANOISE 2</t>
  </si>
  <si>
    <t>06147140</t>
  </si>
  <si>
    <t>FURE A TULLINS - LE VERNEY</t>
  </si>
  <si>
    <t>06147655</t>
  </si>
  <si>
    <t>CUMANE A ST-MARCELLIN 3</t>
  </si>
  <si>
    <t>06580001</t>
  </si>
  <si>
    <t>ROMANE A MIRABEL-ET-BLACONS</t>
  </si>
  <si>
    <t>06580316</t>
  </si>
  <si>
    <t>ROUBION A MONTELIMAR - ST-JAMES</t>
  </si>
  <si>
    <t>06580341</t>
  </si>
  <si>
    <t>GALAURE A ST-BARTHELEMY-DE-VALS</t>
  </si>
  <si>
    <t>06580437</t>
  </si>
  <si>
    <t>DROME A CHABRILLAN</t>
  </si>
  <si>
    <t>VEYLE</t>
  </si>
  <si>
    <t>GRIEGES</t>
  </si>
  <si>
    <t>TURDINE</t>
  </si>
  <si>
    <t>AZERGUES</t>
  </si>
  <si>
    <t>LUCENAY</t>
  </si>
  <si>
    <t>L'ARBRESLE</t>
  </si>
  <si>
    <t>FORON DE TANINGES</t>
  </si>
  <si>
    <t>SEMINE</t>
  </si>
  <si>
    <t>BELLEYDOUX</t>
  </si>
  <si>
    <t>VALSERINE</t>
  </si>
  <si>
    <t>HIEN</t>
  </si>
  <si>
    <t>DOISSIN</t>
  </si>
  <si>
    <t>CESSIEU</t>
  </si>
  <si>
    <t>LA-SOUCHE</t>
  </si>
  <si>
    <t>DORON DE CHAMPAGNY</t>
  </si>
  <si>
    <t>FURE</t>
  </si>
  <si>
    <t>CUMANE</t>
  </si>
  <si>
    <t>ROMANE</t>
  </si>
  <si>
    <t>GALAURE</t>
  </si>
  <si>
    <t>DROME</t>
  </si>
  <si>
    <t>ST-JULIEN-VOCANCE</t>
  </si>
  <si>
    <t>TANINGES</t>
  </si>
  <si>
    <t>LAJOUX</t>
  </si>
  <si>
    <t>CHAMPAGNY-EN-VANOISE</t>
  </si>
  <si>
    <t>TULLINS - LE VERNEY</t>
  </si>
  <si>
    <t>ST-MARCELLIN</t>
  </si>
  <si>
    <t>MIRABEL-ET-BLACONS</t>
  </si>
  <si>
    <t>MONTELIMAR - ST-JAMES</t>
  </si>
  <si>
    <t>ST-BARTHELEMY-DE-VALS</t>
  </si>
  <si>
    <t>CHABRILLAN</t>
  </si>
  <si>
    <t>Amont station de pompage (D 328) au lieu dit Bonnavaz</t>
  </si>
  <si>
    <t>FDDR2021</t>
  </si>
  <si>
    <t>FDDR368a</t>
  </si>
  <si>
    <t>passerelle amont du pont D 91 b (amont Champagny le Haut)</t>
  </si>
  <si>
    <t>MACROINVERTEBRES CE - ECHANGE DES DONNEES SOUTENANT LA BIOLOGIE - IRSTEA-AFB - v1.2 - 20 novembre 2017</t>
  </si>
  <si>
    <t>FRDR581</t>
  </si>
  <si>
    <t>FRDR69a</t>
  </si>
  <si>
    <t>FRDR568b</t>
  </si>
  <si>
    <t>FRDR2023</t>
  </si>
  <si>
    <t>FRDR545</t>
  </si>
  <si>
    <t>FRDR508a</t>
  </si>
  <si>
    <t>FRDR508b</t>
  </si>
  <si>
    <t>FRDR461a</t>
  </si>
  <si>
    <t>FRDR11534</t>
  </si>
  <si>
    <t>FRDR323c</t>
  </si>
  <si>
    <t>FRDR1117</t>
  </si>
  <si>
    <t>FRDR10518</t>
  </si>
  <si>
    <t>FRDR428b</t>
  </si>
  <si>
    <t>FRDR457</t>
  </si>
  <si>
    <t>lieu dit le moulin vieux (aval moulin)</t>
  </si>
  <si>
    <t>MP15</t>
  </si>
  <si>
    <t>Pont amont complexe sportif-aval lieu-dit grange du puy</t>
  </si>
  <si>
    <t>au droit de l'auberge au val d'azergues-lieu-dit le vernay</t>
  </si>
  <si>
    <t>passerelle aval du hameau d'orvaz</t>
  </si>
  <si>
    <t>lieu dit la vilette en amont de mijoux</t>
  </si>
  <si>
    <t>pont du hameau de triève de doissin</t>
  </si>
  <si>
    <t>Pont du lieu-dit terre carrée  - amont confluence bourbre</t>
  </si>
  <si>
    <t>50m amont pont - amont confluence ruisseau de combe noi</t>
  </si>
  <si>
    <t>Amont village au pont du lieu dit Clémenterie</t>
  </si>
  <si>
    <t>Lieu dit Le Port - pont amont confluence Morge</t>
  </si>
  <si>
    <t>Le Coupier</t>
  </si>
  <si>
    <t>Pont de la D 70</t>
  </si>
  <si>
    <t>Lieu dit Pont de Saint Uze (Aval pont D 51 - aval Saint Uze)</t>
  </si>
  <si>
    <t>Amont confluence Jabron</t>
  </si>
  <si>
    <t>Aval commune au lieu dit Chastaing (dans les Ramières)</t>
  </si>
  <si>
    <t>LIGNON-DU-VELAY</t>
  </si>
  <si>
    <t>LIGNON-DU-VELAY à TENCE</t>
  </si>
  <si>
    <t>TENCE</t>
  </si>
  <si>
    <t>AVAL DE TENCE - LD LA PAPETERIE</t>
  </si>
  <si>
    <t>FRGR0161a</t>
  </si>
  <si>
    <t>LIGNON-DU-FOREZ</t>
  </si>
  <si>
    <t>LIGNON à JEANSAGNIERE</t>
  </si>
  <si>
    <t>JEANSAGNIERE</t>
  </si>
  <si>
    <t>Passerelle lieu-dit Le Sagnat</t>
  </si>
  <si>
    <t>FRGR0170</t>
  </si>
  <si>
    <t>BOST</t>
  </si>
  <si>
    <t>BOST à BUSSY-ALBIEUX</t>
  </si>
  <si>
    <t>BUSSY-ALBIEUX</t>
  </si>
  <si>
    <t xml:space="preserve">LIEU-DIT LE BOST - AVAL DU PONT </t>
  </si>
  <si>
    <t>FRGR1508</t>
  </si>
  <si>
    <t>TEYSSONNE</t>
  </si>
  <si>
    <t>TEYSSONNE à SAINT-FORGEUX-LESPINASSE</t>
  </si>
  <si>
    <t>SAINT-FORGEUX-LESPINASSE</t>
  </si>
  <si>
    <t>PONT VERS LD BERTHIERE</t>
  </si>
  <si>
    <t>FRGR1507</t>
  </si>
  <si>
    <t>BESBRE</t>
  </si>
  <si>
    <t>BESBRE à CHABANNE (LA)</t>
  </si>
  <si>
    <t>La Chabane</t>
  </si>
  <si>
    <t>pont de javagnaud</t>
  </si>
  <si>
    <t>LIAURON</t>
  </si>
  <si>
    <t>LIAURON à CELLIER-DU-LUC</t>
  </si>
  <si>
    <t>CELLIER-DU-LUC</t>
  </si>
  <si>
    <t>LIEU-DIT MAS DE LA GRANGE</t>
  </si>
  <si>
    <t>PTP8-A</t>
  </si>
  <si>
    <t>FRGR1745</t>
  </si>
  <si>
    <t>ALLIER</t>
  </si>
  <si>
    <t>ALLIER à SAINT-CHRISTOPHE-D'ALLIER</t>
  </si>
  <si>
    <t>SAINT-CHRISTOPHE-D'ALLIER</t>
  </si>
  <si>
    <t>LE NOUVEAU MONDE - AMONT CONFLUENCE CHAPEAUROUX</t>
  </si>
  <si>
    <t>FRGR0141a</t>
  </si>
  <si>
    <t>SENOUIRE</t>
  </si>
  <si>
    <t>SENOUIRE à SAINT-PAL-DE-SENOUIRE</t>
  </si>
  <si>
    <t>SAINT-PAL-DE-SENOUIRE</t>
  </si>
  <si>
    <t>AVAL ST-PAL-DE-SENOUIRE, ANCIENNE USINE À BARYTE A</t>
  </si>
  <si>
    <t>FRGR0242</t>
  </si>
  <si>
    <t>AILLOUX</t>
  </si>
  <si>
    <t>AILLOUX à MANGLIEU</t>
  </si>
  <si>
    <t>MANGLIEU</t>
  </si>
  <si>
    <t>PASSERELLE LIEU-DIT TARAGNAT - AVAL MANGLIEU PRES D9</t>
  </si>
  <si>
    <t>FRGR0255</t>
  </si>
  <si>
    <t>SIOULE à SAINT-BONNET-PRES-ORCIVAL</t>
  </si>
  <si>
    <t>SAINT BONNET PRES ORCIVAL</t>
  </si>
  <si>
    <t>gué à l'aval du moulin de Villejacques</t>
  </si>
  <si>
    <t>FRGR1213</t>
  </si>
  <si>
    <t>SIOULET</t>
  </si>
  <si>
    <t>SIOULET à COMBRAILLES</t>
  </si>
  <si>
    <t>COMBRAILLES</t>
  </si>
  <si>
    <t>D19, EN AVAL DU PONT BAGNARD</t>
  </si>
  <si>
    <t>FRGR0279</t>
  </si>
  <si>
    <t>ALLIER à CHATEL-DE-NEUVRE</t>
  </si>
  <si>
    <t>CHATEL-DE-NEUVRE</t>
  </si>
  <si>
    <t>AVAL PONT VERS LA FERTE HAUTERIVE - AVAL SIOULE</t>
  </si>
  <si>
    <t>TG17/3-21</t>
  </si>
  <si>
    <t>FRGR0144a</t>
  </si>
  <si>
    <t>ŒIL</t>
  </si>
  <si>
    <t>OEIL à VILLEFRANCHE-D'ALLIER</t>
  </si>
  <si>
    <t>VILLEFRANCHE-D'ALLIER</t>
  </si>
  <si>
    <t>PONT AU LD NEUVILLE</t>
  </si>
  <si>
    <t>FRGR0326</t>
  </si>
  <si>
    <t>CERE</t>
  </si>
  <si>
    <t>CERE à VIC SUR CERE</t>
  </si>
  <si>
    <t>VIC SUR CERE</t>
  </si>
  <si>
    <t>COMBLAT LE PONT</t>
  </si>
  <si>
    <t>FRFR292</t>
  </si>
  <si>
    <t>ASPRE</t>
  </si>
  <si>
    <t>ASPRE à FONTANGES</t>
  </si>
  <si>
    <t>FONTANGES</t>
  </si>
  <si>
    <t>Pont du cc de "Fumel"</t>
  </si>
  <si>
    <t>SIONNE</t>
  </si>
  <si>
    <t>SIONNE à DRUGEAC</t>
  </si>
  <si>
    <t>DRUGEAC</t>
  </si>
  <si>
    <t>DORDOGNE</t>
  </si>
  <si>
    <t>LA DORDOGNE à SINGLES</t>
  </si>
  <si>
    <t>SINGLES</t>
  </si>
  <si>
    <t>FRFR107A</t>
  </si>
  <si>
    <t>ACCREDITATIONS
N°1-6182 et N°1-6501</t>
  </si>
  <si>
    <t>Version numérique protégée</t>
  </si>
  <si>
    <t>04003200</t>
  </si>
  <si>
    <t>04010250</t>
  </si>
  <si>
    <t>04012050</t>
  </si>
  <si>
    <t>04014500</t>
  </si>
  <si>
    <t>04022150</t>
  </si>
  <si>
    <t>04026420</t>
  </si>
  <si>
    <t>04027200</t>
  </si>
  <si>
    <t>04027810</t>
  </si>
  <si>
    <t>04029675</t>
  </si>
  <si>
    <t>04041630</t>
  </si>
  <si>
    <t>04043200</t>
  </si>
  <si>
    <t>04061400</t>
  </si>
  <si>
    <t>05066000</t>
  </si>
  <si>
    <t>05068170</t>
  </si>
  <si>
    <t>05068510</t>
  </si>
  <si>
    <t>05069400</t>
  </si>
  <si>
    <t>MO04 EN01
Indice de rév. : 02
Page  1/1</t>
  </si>
  <si>
    <r>
      <t>DREAL Auvergne-Rhône-Alpes</t>
    </r>
    <r>
      <rPr>
        <sz val="11"/>
        <rFont val="Times New Roman"/>
        <family val="1"/>
        <charset val="1"/>
      </rPr>
      <t>Laboratoire d’hydrobiologie</t>
    </r>
  </si>
  <si>
    <t>(*) données fournies par le client</t>
  </si>
  <si>
    <t>Date/Signature/Nom-Prénom</t>
  </si>
  <si>
    <r>
      <t xml:space="preserve">CONDITIONS D’ECHANTILLONNAGE ET LISTE FAUNISTIQUE </t>
    </r>
    <r>
      <rPr>
        <sz val="10"/>
        <rFont val="Arial"/>
        <family val="2"/>
      </rPr>
      <t>(Cf. Fiche AFB, modèle en vigueur, onglet Saisie)</t>
    </r>
  </si>
  <si>
    <t xml:space="preserve"> La reproduction de ce rapport d’essai n’est autorisée que sous sa forme globale. Il comporte 2 pages et 0 annexes.</t>
  </si>
  <si>
    <t>06300001</t>
  </si>
  <si>
    <t>06594900</t>
  </si>
  <si>
    <t>06043845</t>
  </si>
  <si>
    <t>06079186</t>
  </si>
  <si>
    <t>06105568</t>
  </si>
  <si>
    <t>06590500</t>
  </si>
  <si>
    <t>06108500</t>
  </si>
  <si>
    <t>06000179</t>
  </si>
  <si>
    <t>06116625</t>
  </si>
  <si>
    <t>06107745</t>
  </si>
  <si>
    <t>06580458</t>
  </si>
  <si>
    <t>06820138</t>
  </si>
  <si>
    <t>06076450</t>
  </si>
  <si>
    <t>06580542</t>
  </si>
  <si>
    <t>06078200</t>
  </si>
  <si>
    <t>06580178</t>
  </si>
  <si>
    <t>06107980</t>
  </si>
  <si>
    <t>06000754</t>
  </si>
  <si>
    <t>06710090</t>
  </si>
  <si>
    <t>06000755</t>
  </si>
  <si>
    <t>RRP/RCS</t>
  </si>
  <si>
    <t>FRDR486</t>
  </si>
  <si>
    <t>FRDR417b</t>
  </si>
  <si>
    <t>FRDR11120</t>
  </si>
  <si>
    <t>FRDR455</t>
  </si>
  <si>
    <t>FRDR438b</t>
  </si>
  <si>
    <t>FRDR440</t>
  </si>
  <si>
    <t>FRDR11222</t>
  </si>
  <si>
    <t>FRDR11677</t>
  </si>
  <si>
    <t>FRDR444a</t>
  </si>
  <si>
    <t>FRDR439</t>
  </si>
  <si>
    <t>FRDR2019</t>
  </si>
  <si>
    <t>FRDR523</t>
  </si>
  <si>
    <t>FRDR517c</t>
  </si>
  <si>
    <t>FRDR517a</t>
  </si>
  <si>
    <t>FRDR496</t>
  </si>
  <si>
    <t>FRDR441</t>
  </si>
  <si>
    <t>FRDR348</t>
  </si>
  <si>
    <t>FRDR11343</t>
  </si>
  <si>
    <t>ALBARINE</t>
  </si>
  <si>
    <t>CHALEY 1</t>
  </si>
  <si>
    <t>BAUME</t>
  </si>
  <si>
    <t>ST-ALBAN-AURIOLLES 2</t>
  </si>
  <si>
    <t>BIEF DE MALAVAL</t>
  </si>
  <si>
    <t>MARBOZ</t>
  </si>
  <si>
    <t>CALLONE</t>
  </si>
  <si>
    <t>MONTCEAUX 2</t>
  </si>
  <si>
    <t>LABATIE-D'ANDAURE 1</t>
  </si>
  <si>
    <t>EURRE</t>
  </si>
  <si>
    <t>PIEGROS-LA-CLASTRE</t>
  </si>
  <si>
    <t>EAU NOIRE</t>
  </si>
  <si>
    <t>VACHERESSE 2</t>
  </si>
  <si>
    <t>ESTABLET</t>
  </si>
  <si>
    <t>LA-CHARCE</t>
  </si>
  <si>
    <t>LES OLLIERES SUR EYRIEUX</t>
  </si>
  <si>
    <t>GERVANNE</t>
  </si>
  <si>
    <t>GIER</t>
  </si>
  <si>
    <t>LA-VALLA-EN-GIER</t>
  </si>
  <si>
    <t>GROIN</t>
  </si>
  <si>
    <t xml:space="preserve"> ARTEMARE</t>
  </si>
  <si>
    <t>GUIERS MORT</t>
  </si>
  <si>
    <t>ENTRE-DEUX-GUIERS 2</t>
  </si>
  <si>
    <t>ST-LAURENT-DU-PONT</t>
  </si>
  <si>
    <t>OIGNIN</t>
  </si>
  <si>
    <t xml:space="preserve"> BRION 4</t>
  </si>
  <si>
    <t>ROANNE</t>
  </si>
  <si>
    <t>ST-BENOIT-EN-DIOIS</t>
  </si>
  <si>
    <t>ROIZONNE</t>
  </si>
  <si>
    <t>ORIS-EN-RATTIER 2</t>
  </si>
  <si>
    <t>SOULOISE</t>
  </si>
  <si>
    <t>PELLAFOL</t>
  </si>
  <si>
    <t>TORRENT DES GLACIERS</t>
  </si>
  <si>
    <t>BOURG-SAINT-MAURICE 1</t>
  </si>
  <si>
    <t>ALBARINE A CHALEY 1</t>
  </si>
  <si>
    <t>BAUME A ST-ALBAN-AURIOLLES 2</t>
  </si>
  <si>
    <t>BIEF DE MALAVAL A MARBOZ</t>
  </si>
  <si>
    <t>CALLONE A MONTCEAUX 2</t>
  </si>
  <si>
    <t>DOUX A LABATIE-D'ANDAURE 1</t>
  </si>
  <si>
    <t>DROME A EURRE</t>
  </si>
  <si>
    <t>DROME A PIEGROS-LA-CLASTRE</t>
  </si>
  <si>
    <t>EAU NOIRE A VACHERESSE 2</t>
  </si>
  <si>
    <t>ESTABLET A LA-CHARCE</t>
  </si>
  <si>
    <t>EYRIEUX A LES OLLIERES SUR EYRIEUX</t>
  </si>
  <si>
    <t>GERVANNE A MIRABEL-ET-BLACONS</t>
  </si>
  <si>
    <t>GIER A LA-VALLA-EN-GIER</t>
  </si>
  <si>
    <t>GROIN A ARTEMARE</t>
  </si>
  <si>
    <t>GUIERS MORT A ENTRE-DEUX-GUIERS 2</t>
  </si>
  <si>
    <t>GUIERS MORT A ST-LAURENT-DU-PONT</t>
  </si>
  <si>
    <t>OIGNIN A BRION 4</t>
  </si>
  <si>
    <t>ROANNE A ST-BENOIT-EN-DIOIS</t>
  </si>
  <si>
    <t>ROIZONNE A ORIS-EN-RATTIER 2</t>
  </si>
  <si>
    <t>SOULOISE A PELLAFOL</t>
  </si>
  <si>
    <t>TORRENT DES GLACIERS A BOURG-SAINT-MAURICE 1</t>
  </si>
  <si>
    <t>D 21 - Pont de la Violette</t>
  </si>
  <si>
    <t>Amont pont de Labeaume</t>
  </si>
  <si>
    <t>Dernier pont à l'amont confluence Sevron</t>
  </si>
  <si>
    <t>Amont de la piste menant au moulin de Crozet</t>
  </si>
  <si>
    <t>200 m amont pont des lieux-dits La Grange et Les Chabannes</t>
  </si>
  <si>
    <t>Aval commune face au lieu dit Parpaillon (dans les Ramières)</t>
  </si>
  <si>
    <t>Amont Crest - aval Saillans</t>
  </si>
  <si>
    <t>LA TORNOIRE</t>
  </si>
  <si>
    <t>Amont village situé à 200 m en amont du lieu dit Les Granges</t>
  </si>
  <si>
    <t>Lieu dit la Pimpie</t>
  </si>
  <si>
    <t>Pont D 93 - Blacons</t>
  </si>
  <si>
    <t>Pont amont moulin de Sézigneux</t>
  </si>
  <si>
    <t>Amont confluence Seran</t>
  </si>
  <si>
    <t>400 m amont pont D 28b</t>
  </si>
  <si>
    <t>Pont de l'Orcières</t>
  </si>
  <si>
    <t>Non précisé</t>
  </si>
  <si>
    <t>Au droit du hameau de Tré la Ville - aval station d'épuration de Brion</t>
  </si>
  <si>
    <t>Lieu dit Les Baumes en aval village</t>
  </si>
  <si>
    <t>Passerelle des Gillardes</t>
  </si>
  <si>
    <t>D=9</t>
  </si>
  <si>
    <t>Phase1=0,5</t>
  </si>
  <si>
    <t>sup5</t>
  </si>
  <si>
    <t>00000001</t>
  </si>
  <si>
    <t>cours d'eau 1</t>
  </si>
  <si>
    <t>Exemple1 : norme NFT90-333</t>
  </si>
  <si>
    <t>commune1</t>
  </si>
  <si>
    <t>XXXX1</t>
  </si>
  <si>
    <t>localisation Exemple1 : norme NFT90-333</t>
  </si>
  <si>
    <t>X1</t>
  </si>
  <si>
    <t>TYP1</t>
  </si>
  <si>
    <t>XX1</t>
  </si>
  <si>
    <t>00000002</t>
  </si>
  <si>
    <t>cours d'eau 2</t>
  </si>
  <si>
    <t>Exemple2 : norme NFT90-333</t>
  </si>
  <si>
    <t>commune2</t>
  </si>
  <si>
    <t>XXXX2</t>
  </si>
  <si>
    <t>localisation Exemple2 : norme NFT90-333</t>
  </si>
  <si>
    <t>X2</t>
  </si>
  <si>
    <t>TYP2</t>
  </si>
  <si>
    <t>XX2</t>
  </si>
  <si>
    <t>00000003</t>
  </si>
  <si>
    <t>cours d'eau 3</t>
  </si>
  <si>
    <t>Exemple3 : norme NFT90-333</t>
  </si>
  <si>
    <t>commune3</t>
  </si>
  <si>
    <t>XXXX3</t>
  </si>
  <si>
    <t>localisation Exemple3 : norme NFT90-333</t>
  </si>
  <si>
    <t>X3</t>
  </si>
  <si>
    <t>TYP3</t>
  </si>
  <si>
    <t>XX3</t>
  </si>
  <si>
    <t>00000004</t>
  </si>
  <si>
    <t>cours d'eau 4</t>
  </si>
  <si>
    <t>Exemple4 : norme NFT90-333</t>
  </si>
  <si>
    <t>commune4</t>
  </si>
  <si>
    <t>XXXX4</t>
  </si>
  <si>
    <t>localisation Exemple4 : norme NFT90-333</t>
  </si>
  <si>
    <t>X4</t>
  </si>
  <si>
    <t>TYP4</t>
  </si>
  <si>
    <t>XX4</t>
  </si>
  <si>
    <t>Code de la station (*) :</t>
  </si>
  <si>
    <t>Nom du cours d'eau (*) :</t>
  </si>
  <si>
    <t>Nom station (*) :</t>
  </si>
  <si>
    <t>10</t>
  </si>
  <si>
    <t>04003355</t>
  </si>
  <si>
    <t>DUNIERES</t>
  </si>
  <si>
    <t>DUNIERES à DUNIERES</t>
  </si>
  <si>
    <t>43087</t>
  </si>
  <si>
    <t>LIEU DIT LE SOLIER, EN AMONT DES 2 PONTS QUI TRAVERSENT LA DUNIERES</t>
  </si>
  <si>
    <t>FRGR0162</t>
  </si>
  <si>
    <t>04010450</t>
  </si>
  <si>
    <t>ANZON</t>
  </si>
  <si>
    <t>ANZON à SAINT-THURIN</t>
  </si>
  <si>
    <t>SAINT-THURIN</t>
  </si>
  <si>
    <t>PRELEVEMENT EN AMONT DE LA CONFLUENCE AVEC LE RAU DE GRAND RIS EN AMONT DU PONT</t>
  </si>
  <si>
    <t>RCA RD</t>
  </si>
  <si>
    <t>FRGR0174</t>
  </si>
  <si>
    <t>04010780</t>
  </si>
  <si>
    <t>VIZEZY</t>
  </si>
  <si>
    <t>VIZEZY à ESSERTINES-EN-CHATELNEUF</t>
  </si>
  <si>
    <t>ESSERTINES-EN-CHATELNEUF</t>
  </si>
  <si>
    <t xml:space="preserve">AU PT ENTRE LD LA BROSSE ET LES EVERTS VERS D101 - AMONT CONFL. TREZAILLETTE    </t>
  </si>
  <si>
    <t>FRGR1022</t>
  </si>
  <si>
    <t>04021250</t>
  </si>
  <si>
    <t>VOUZANCE</t>
  </si>
  <si>
    <t>VOUZANCE à NEUILLY-EN-DONJON</t>
  </si>
  <si>
    <t>NEUILLY-EN-DONJON</t>
  </si>
  <si>
    <t>03196</t>
  </si>
  <si>
    <t>AMONT NEUILLY-EN-DONJON</t>
  </si>
  <si>
    <t>P17</t>
  </si>
  <si>
    <t>FRGR0206</t>
  </si>
  <si>
    <t>03</t>
  </si>
  <si>
    <t>04024060</t>
  </si>
  <si>
    <t>ACOLIN</t>
  </si>
  <si>
    <t>ACOLIN à THIEL-SUR-ACOLIN</t>
  </si>
  <si>
    <t>THIEL-SUR-ACOLIN</t>
  </si>
  <si>
    <t>03283</t>
  </si>
  <si>
    <t>PONT D31</t>
  </si>
  <si>
    <t>FRGR0222</t>
  </si>
  <si>
    <t>04027440</t>
  </si>
  <si>
    <t>SEUGE</t>
  </si>
  <si>
    <t>SEUGE à SAUGUES</t>
  </si>
  <si>
    <t>SAUGUES</t>
  </si>
  <si>
    <t>43234</t>
  </si>
  <si>
    <t>300 m à l'aval du Moulin de Solrecoux</t>
  </si>
  <si>
    <t>FRGR0240</t>
  </si>
  <si>
    <t>04027870</t>
  </si>
  <si>
    <t>BOIS D'ARBIOUX</t>
  </si>
  <si>
    <t>RAU DU BOIS D'ARBIOUX À AGNAT</t>
  </si>
  <si>
    <t>AGNAT</t>
  </si>
  <si>
    <t>43001</t>
  </si>
  <si>
    <t>amont du pont de la D52</t>
  </si>
  <si>
    <t>FRGR1962</t>
  </si>
  <si>
    <t>04028650</t>
  </si>
  <si>
    <t>ALAGNONNETTE</t>
  </si>
  <si>
    <t>ALAGNONNETTE à MASSIAC</t>
  </si>
  <si>
    <t>MASSIAC</t>
  </si>
  <si>
    <t>15119</t>
  </si>
  <si>
    <t>PONT A75 - AMONT MASSIAC</t>
  </si>
  <si>
    <t>FRGR0251</t>
  </si>
  <si>
    <t>04032090</t>
  </si>
  <si>
    <t>ANGAUD</t>
  </si>
  <si>
    <t>ANGAUD à SAINT-JULIEN-DE-COPPEL</t>
  </si>
  <si>
    <t>SAINT JULIEN DE COPPEL</t>
  </si>
  <si>
    <t>63368</t>
  </si>
  <si>
    <t>D 14 direction Billom, chemin à droite au niveau de l'ancienne décharge</t>
  </si>
  <si>
    <t>FRGR1497</t>
  </si>
  <si>
    <t>04033300</t>
  </si>
  <si>
    <t>MORGE</t>
  </si>
  <si>
    <t>MORGE à MONTCEL</t>
  </si>
  <si>
    <t>MONTCEL</t>
  </si>
  <si>
    <t>63235</t>
  </si>
  <si>
    <t>PONT DE LA D408 AU LD PONT DE MONTCEL</t>
  </si>
  <si>
    <t>FRGR0263</t>
  </si>
  <si>
    <t>04041753</t>
  </si>
  <si>
    <t>TIX</t>
  </si>
  <si>
    <t>TIX à LA CELLE</t>
  </si>
  <si>
    <t>LA CELLE</t>
  </si>
  <si>
    <t>63064</t>
  </si>
  <si>
    <t>amont du chemin menant de Solignat à Saugère</t>
  </si>
  <si>
    <t>TP21</t>
  </si>
  <si>
    <t>FRGR2248</t>
  </si>
  <si>
    <t>04057040</t>
  </si>
  <si>
    <t>BORON</t>
  </si>
  <si>
    <t>BORON à SAINT-MARCEL-EN-MARCILLAT</t>
  </si>
  <si>
    <t>ST-MARCEL-EN-MARCILLAT</t>
  </si>
  <si>
    <t>03244</t>
  </si>
  <si>
    <t>PONT DE RAMEAU</t>
  </si>
  <si>
    <t>FRGR0146</t>
  </si>
  <si>
    <t>04063510</t>
  </si>
  <si>
    <t>MARMANDE</t>
  </si>
  <si>
    <t>MARMANDE à CERILLY</t>
  </si>
  <si>
    <t>CERILLY</t>
  </si>
  <si>
    <t>03048</t>
  </si>
  <si>
    <t>lieu dit La Bâche, amont du pont</t>
  </si>
  <si>
    <t>FRGR1521</t>
  </si>
  <si>
    <t>04406011</t>
  </si>
  <si>
    <t>BONSON</t>
  </si>
  <si>
    <t>BONSON A SAINT-JUST-SAINT-RAMBERT</t>
  </si>
  <si>
    <t>SAINT-JUST-SAINT-RAMBERT</t>
  </si>
  <si>
    <t xml:space="preserve">AMONT DU PONT DE BEBIEUX ET DU JARAISON                                         </t>
  </si>
  <si>
    <t>FRGR0169</t>
  </si>
  <si>
    <t>05063800</t>
  </si>
  <si>
    <t>CERE A LAROQUEBROU</t>
  </si>
  <si>
    <t>LAROQUEBROU</t>
  </si>
  <si>
    <t>Aval de Laroquebrou – Siran</t>
  </si>
  <si>
    <t>FRFR295A</t>
  </si>
  <si>
    <t>05068660</t>
  </si>
  <si>
    <t>SUMENE</t>
  </si>
  <si>
    <t>SUMENE A BASSIGNAC</t>
  </si>
  <si>
    <t>BASSIGNAC</t>
  </si>
  <si>
    <t>Pont de la D922 en aval de Bassignac</t>
  </si>
  <si>
    <t>FRFR109</t>
  </si>
  <si>
    <t>05069450</t>
  </si>
  <si>
    <t>CHAVANON</t>
  </si>
  <si>
    <t>CHAVANON A SAVENNES</t>
  </si>
  <si>
    <t>SAVENNES</t>
  </si>
  <si>
    <t>Amont retenue de Bort les Orgues</t>
  </si>
  <si>
    <t>FRFR106A</t>
  </si>
  <si>
    <t>01076</t>
  </si>
  <si>
    <t>07207</t>
  </si>
  <si>
    <t>01232</t>
  </si>
  <si>
    <t>01258</t>
  </si>
  <si>
    <t>07114</t>
  </si>
  <si>
    <t>07167</t>
  </si>
  <si>
    <t>01022</t>
  </si>
  <si>
    <t>07315</t>
  </si>
  <si>
    <t>07258</t>
  </si>
  <si>
    <t>01035</t>
  </si>
  <si>
    <t>01179</t>
  </si>
  <si>
    <t>ATTENTION!:</t>
  </si>
  <si>
    <t>Si il y a moins de 4 marginaux, l'outil ne prend pas en charge les cas particuliers: ne pas se fier aux indications du nombre de prélèvement des colonnes X, Y et Z et se reporter à la norme NF T90-333 pargraphe 5.1.3.1</t>
  </si>
  <si>
    <t>03/04</t>
  </si>
  <si>
    <t>NF T90-388 – Décembre 2020</t>
  </si>
  <si>
    <t>04041750</t>
  </si>
  <si>
    <t>x10</t>
  </si>
  <si>
    <t>01/02</t>
  </si>
  <si>
    <t>Tous les prélèvements ont été effectués  au fliet SURBER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</si>
</sst>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#,##0.00\ &quot;€&quot;;[Red]\-#,##0.00\ &quot;€&quot;"/>
    <numFmt numFmtId="164" formatCode="0.0"/>
    <numFmt numFmtId="165" formatCode="dd/mm/yy"/>
    <numFmt numFmtId="166" formatCode="0.0%"/>
    <numFmt numFmtId="167" formatCode="00000"/>
    <numFmt numFmtId="168" formatCode="h:mm;@"/>
    <numFmt numFmtId="169" formatCode="00000000"/>
    <numFmt numFmtId="170" formatCode="[&gt;=1]0&quot; %&quot;;&quot;&lt;1%&quot;"/>
    <numFmt numFmtId="171" formatCode="[&gt;=1]0&quot; %&quot;;&quot;1%&quot;"/>
    <numFmt numFmtId="172" formatCode="[&gt;1]0&quot; %&quot;;&quot;&lt;1%&quot;"/>
    <numFmt numFmtId="173" formatCode="00"/>
    <numFmt numFmtId="174" formatCode="h:mm"/>
  </numFmts>
  <fonts count="78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Times New Roman"/>
      <family val="1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8"/>
      <name val="Times New Roman"/>
      <family val="1"/>
    </font>
    <font>
      <i/>
      <sz val="10"/>
      <name val="Arial"/>
      <family val="2"/>
    </font>
    <font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i/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14"/>
      <name val="Arial"/>
      <family val="2"/>
      <charset val="1"/>
    </font>
    <font>
      <vertAlign val="superscript"/>
      <sz val="10"/>
      <name val="Arial"/>
      <family val="2"/>
      <charset val="1"/>
    </font>
    <font>
      <sz val="11"/>
      <name val="Times New Roman"/>
      <family val="1"/>
      <charset val="1"/>
    </font>
    <font>
      <b/>
      <sz val="14"/>
      <name val="Times New Roman"/>
      <family val="1"/>
      <charset val="1"/>
    </font>
    <font>
      <b/>
      <sz val="13"/>
      <name val="Times New Roman"/>
      <family val="1"/>
      <charset val="1"/>
    </font>
    <font>
      <u/>
      <sz val="11"/>
      <color theme="10"/>
      <name val="Calibri"/>
      <family val="2"/>
      <scheme val="minor"/>
    </font>
    <font>
      <b/>
      <sz val="16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FF0000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1"/>
    </font>
    <font>
      <sz val="10"/>
      <color theme="1"/>
      <name val="Arial1"/>
    </font>
    <font>
      <sz val="10"/>
      <color theme="1"/>
      <name val="Arial1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0C0C0"/>
        <bgColor rgb="FFBFBFB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4" fillId="0" borderId="0"/>
    <xf numFmtId="0" fontId="34" fillId="0" borderId="0"/>
    <xf numFmtId="0" fontId="37" fillId="0" borderId="0"/>
    <xf numFmtId="0" fontId="14" fillId="0" borderId="0"/>
    <xf numFmtId="0" fontId="33" fillId="0" borderId="0"/>
    <xf numFmtId="0" fontId="14" fillId="0" borderId="0"/>
    <xf numFmtId="0" fontId="62" fillId="0" borderId="0" applyNumberFormat="0" applyFill="0" applyBorder="0" applyAlignment="0" applyProtection="0"/>
    <xf numFmtId="0" fontId="67" fillId="0" borderId="0"/>
    <xf numFmtId="0" fontId="75" fillId="0" borderId="0"/>
  </cellStyleXfs>
  <cellXfs count="70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vertical="center"/>
    </xf>
    <xf numFmtId="0" fontId="13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7" fillId="0" borderId="0" xfId="0" applyFont="1" applyFill="1" applyBorder="1" applyAlignment="1" applyProtection="1">
      <alignment vertical="center"/>
    </xf>
    <xf numFmtId="0" fontId="18" fillId="2" borderId="14" xfId="0" applyFont="1" applyFill="1" applyBorder="1" applyAlignment="1" applyProtection="1">
      <alignment horizontal="left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2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1" fillId="0" borderId="0" xfId="0" applyFont="1" applyProtection="1"/>
    <xf numFmtId="165" fontId="11" fillId="0" borderId="0" xfId="0" applyNumberFormat="1" applyFont="1" applyProtection="1"/>
    <xf numFmtId="0" fontId="23" fillId="2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</xf>
    <xf numFmtId="0" fontId="18" fillId="4" borderId="22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/>
    <xf numFmtId="0" fontId="8" fillId="0" borderId="0" xfId="0" applyFont="1" applyFill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</xf>
    <xf numFmtId="0" fontId="19" fillId="6" borderId="22" xfId="0" applyFont="1" applyFill="1" applyBorder="1" applyAlignment="1" applyProtection="1">
      <alignment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7" xfId="0" applyFont="1" applyFill="1" applyBorder="1" applyAlignment="1" applyProtection="1">
      <alignment horizontal="left" vertical="center"/>
    </xf>
    <xf numFmtId="0" fontId="9" fillId="7" borderId="10" xfId="0" applyFont="1" applyFill="1" applyBorder="1" applyAlignment="1" applyProtection="1">
      <alignment horizontal="left" vertical="center"/>
    </xf>
    <xf numFmtId="0" fontId="11" fillId="0" borderId="0" xfId="0" applyFont="1" applyFill="1" applyProtection="1"/>
    <xf numFmtId="165" fontId="11" fillId="0" borderId="0" xfId="0" applyNumberFormat="1" applyFont="1" applyFill="1" applyProtection="1"/>
    <xf numFmtId="0" fontId="1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8" fillId="2" borderId="29" xfId="0" applyFont="1" applyFill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center" vertical="center" wrapText="1"/>
    </xf>
    <xf numFmtId="166" fontId="20" fillId="0" borderId="22" xfId="0" applyNumberFormat="1" applyFont="1" applyFill="1" applyBorder="1" applyAlignment="1" applyProtection="1">
      <alignment vertical="center"/>
    </xf>
    <xf numFmtId="49" fontId="1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8" fillId="4" borderId="22" xfId="0" applyFont="1" applyFill="1" applyBorder="1" applyAlignment="1" applyProtection="1">
      <alignment horizontal="center" vertical="center" wrapText="1"/>
    </xf>
    <xf numFmtId="14" fontId="18" fillId="4" borderId="22" xfId="0" applyNumberFormat="1" applyFont="1" applyFill="1" applyBorder="1" applyAlignment="1" applyProtection="1">
      <alignment horizontal="center" vertical="center" wrapText="1"/>
    </xf>
    <xf numFmtId="14" fontId="19" fillId="6" borderId="16" xfId="0" applyNumberFormat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/>
    </xf>
    <xf numFmtId="0" fontId="27" fillId="0" borderId="5" xfId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vertical="center"/>
    </xf>
    <xf numFmtId="0" fontId="19" fillId="6" borderId="14" xfId="0" applyFont="1" applyFill="1" applyBorder="1" applyAlignment="1" applyProtection="1">
      <alignment vertical="center"/>
    </xf>
    <xf numFmtId="14" fontId="19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vertical="center"/>
    </xf>
    <xf numFmtId="0" fontId="30" fillId="11" borderId="37" xfId="0" applyFont="1" applyFill="1" applyBorder="1"/>
    <xf numFmtId="0" fontId="30" fillId="11" borderId="38" xfId="0" applyFont="1" applyFill="1" applyBorder="1"/>
    <xf numFmtId="0" fontId="30" fillId="11" borderId="38" xfId="0" applyFont="1" applyFill="1" applyBorder="1" applyAlignment="1">
      <alignment wrapText="1"/>
    </xf>
    <xf numFmtId="0" fontId="30" fillId="11" borderId="39" xfId="0" applyFont="1" applyFill="1" applyBorder="1"/>
    <xf numFmtId="0" fontId="0" fillId="12" borderId="37" xfId="0" applyFont="1" applyFill="1" applyBorder="1"/>
    <xf numFmtId="0" fontId="0" fillId="12" borderId="38" xfId="0" applyFont="1" applyFill="1" applyBorder="1"/>
    <xf numFmtId="0" fontId="31" fillId="12" borderId="38" xfId="0" applyFont="1" applyFill="1" applyBorder="1"/>
    <xf numFmtId="49" fontId="0" fillId="12" borderId="38" xfId="0" applyNumberFormat="1" applyFont="1" applyFill="1" applyBorder="1"/>
    <xf numFmtId="14" fontId="0" fillId="12" borderId="38" xfId="0" applyNumberFormat="1" applyFont="1" applyFill="1" applyBorder="1"/>
    <xf numFmtId="0" fontId="0" fillId="12" borderId="38" xfId="0" applyFont="1" applyFill="1" applyBorder="1" applyAlignment="1">
      <alignment wrapText="1"/>
    </xf>
    <xf numFmtId="0" fontId="32" fillId="12" borderId="39" xfId="0" applyFont="1" applyFill="1" applyBorder="1" applyAlignment="1">
      <alignment wrapText="1"/>
    </xf>
    <xf numFmtId="0" fontId="0" fillId="0" borderId="37" xfId="0" applyFont="1" applyBorder="1"/>
    <xf numFmtId="0" fontId="0" fillId="0" borderId="38" xfId="0" applyFont="1" applyBorder="1"/>
    <xf numFmtId="0" fontId="31" fillId="0" borderId="38" xfId="0" applyFont="1" applyBorder="1"/>
    <xf numFmtId="49" fontId="0" fillId="0" borderId="38" xfId="0" applyNumberFormat="1" applyFont="1" applyBorder="1"/>
    <xf numFmtId="14" fontId="0" fillId="0" borderId="38" xfId="0" applyNumberFormat="1" applyFont="1" applyBorder="1"/>
    <xf numFmtId="0" fontId="0" fillId="0" borderId="38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12" borderId="39" xfId="0" applyFont="1" applyFill="1" applyBorder="1" applyAlignment="1">
      <alignment wrapText="1"/>
    </xf>
    <xf numFmtId="0" fontId="35" fillId="13" borderId="40" xfId="2" applyFont="1" applyFill="1" applyBorder="1" applyAlignment="1" applyProtection="1">
      <alignment horizontal="center" vertical="center"/>
    </xf>
    <xf numFmtId="1" fontId="35" fillId="13" borderId="40" xfId="2" applyNumberFormat="1" applyFont="1" applyFill="1" applyBorder="1" applyAlignment="1" applyProtection="1">
      <alignment horizontal="center" vertical="center"/>
    </xf>
    <xf numFmtId="0" fontId="35" fillId="13" borderId="40" xfId="2" applyFont="1" applyFill="1" applyBorder="1" applyAlignment="1" applyProtection="1">
      <alignment horizontal="left" vertical="center"/>
    </xf>
    <xf numFmtId="164" fontId="36" fillId="13" borderId="40" xfId="2" applyNumberFormat="1" applyFont="1" applyFill="1" applyBorder="1" applyAlignment="1">
      <alignment horizontal="center" vertical="center" wrapText="1"/>
    </xf>
    <xf numFmtId="0" fontId="36" fillId="13" borderId="40" xfId="2" applyFont="1" applyFill="1" applyBorder="1" applyAlignment="1">
      <alignment horizontal="center"/>
    </xf>
    <xf numFmtId="0" fontId="35" fillId="13" borderId="41" xfId="3" applyFont="1" applyFill="1" applyBorder="1" applyAlignment="1">
      <alignment horizontal="center"/>
    </xf>
    <xf numFmtId="0" fontId="36" fillId="13" borderId="40" xfId="2" applyFont="1" applyFill="1" applyBorder="1" applyAlignment="1">
      <alignment horizontal="left"/>
    </xf>
    <xf numFmtId="0" fontId="36" fillId="13" borderId="40" xfId="2" applyFont="1" applyFill="1" applyBorder="1"/>
    <xf numFmtId="0" fontId="34" fillId="0" borderId="0" xfId="2"/>
    <xf numFmtId="0" fontId="34" fillId="0" borderId="0" xfId="2" applyFont="1" applyBorder="1"/>
    <xf numFmtId="0" fontId="34" fillId="0" borderId="42" xfId="2" applyFont="1" applyBorder="1"/>
    <xf numFmtId="0" fontId="33" fillId="0" borderId="0" xfId="5"/>
    <xf numFmtId="49" fontId="37" fillId="0" borderId="42" xfId="3" applyNumberFormat="1" applyFont="1" applyFill="1" applyBorder="1" applyAlignment="1" applyProtection="1">
      <alignment wrapText="1"/>
      <protection locked="0"/>
    </xf>
    <xf numFmtId="167" fontId="38" fillId="0" borderId="42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6"/>
    <xf numFmtId="0" fontId="14" fillId="0" borderId="0" xfId="6" quotePrefix="1"/>
    <xf numFmtId="0" fontId="14" fillId="0" borderId="0" xfId="6" applyAlignment="1">
      <alignment horizontal="center"/>
    </xf>
    <xf numFmtId="168" fontId="14" fillId="0" borderId="0" xfId="6" applyNumberFormat="1"/>
    <xf numFmtId="14" fontId="14" fillId="0" borderId="0" xfId="6" applyNumberFormat="1"/>
    <xf numFmtId="0" fontId="35" fillId="15" borderId="57" xfId="3" applyFont="1" applyFill="1" applyBorder="1" applyAlignment="1" applyProtection="1">
      <alignment horizontal="center" vertical="center"/>
    </xf>
    <xf numFmtId="0" fontId="44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 wrapText="1"/>
    </xf>
    <xf numFmtId="0" fontId="46" fillId="0" borderId="0" xfId="6" applyFont="1"/>
    <xf numFmtId="0" fontId="44" fillId="0" borderId="0" xfId="6" applyFont="1" applyBorder="1" applyAlignment="1">
      <alignment vertical="center" wrapText="1"/>
    </xf>
    <xf numFmtId="0" fontId="47" fillId="0" borderId="0" xfId="6" applyFont="1" applyAlignment="1">
      <alignment horizontal="center" vertical="center"/>
    </xf>
    <xf numFmtId="0" fontId="47" fillId="0" borderId="0" xfId="6" applyFont="1" applyAlignment="1">
      <alignment horizontal="left"/>
    </xf>
    <xf numFmtId="0" fontId="47" fillId="0" borderId="0" xfId="6" applyFont="1" applyAlignment="1">
      <alignment horizontal="center"/>
    </xf>
    <xf numFmtId="0" fontId="46" fillId="0" borderId="0" xfId="6" applyFont="1" applyAlignment="1">
      <alignment horizontal="center"/>
    </xf>
    <xf numFmtId="0" fontId="46" fillId="0" borderId="0" xfId="6" applyFont="1" applyAlignment="1">
      <alignment horizontal="left"/>
    </xf>
    <xf numFmtId="0" fontId="48" fillId="0" borderId="0" xfId="6" applyFont="1" applyAlignment="1">
      <alignment horizontal="left"/>
    </xf>
    <xf numFmtId="0" fontId="14" fillId="0" borderId="0" xfId="6" applyFont="1" applyAlignment="1">
      <alignment horizontal="left"/>
    </xf>
    <xf numFmtId="0" fontId="46" fillId="0" borderId="0" xfId="6" applyFont="1" applyBorder="1" applyAlignment="1">
      <alignment horizontal="left" wrapText="1"/>
    </xf>
    <xf numFmtId="0" fontId="47" fillId="0" borderId="0" xfId="6" applyFont="1" applyBorder="1" applyAlignment="1">
      <alignment horizontal="left"/>
    </xf>
    <xf numFmtId="0" fontId="46" fillId="0" borderId="0" xfId="6" applyFont="1" applyBorder="1"/>
    <xf numFmtId="0" fontId="3" fillId="0" borderId="0" xfId="6" applyFont="1"/>
    <xf numFmtId="0" fontId="47" fillId="0" borderId="0" xfId="6" applyFont="1"/>
    <xf numFmtId="0" fontId="47" fillId="0" borderId="0" xfId="6" applyFont="1" applyBorder="1"/>
    <xf numFmtId="14" fontId="46" fillId="0" borderId="0" xfId="6" applyNumberFormat="1" applyFont="1" applyAlignment="1">
      <alignment horizontal="left"/>
    </xf>
    <xf numFmtId="0" fontId="46" fillId="0" borderId="0" xfId="6" applyFont="1" applyBorder="1" applyAlignment="1">
      <alignment horizontal="left"/>
    </xf>
    <xf numFmtId="0" fontId="46" fillId="0" borderId="0" xfId="6" applyFont="1" applyBorder="1" applyAlignment="1"/>
    <xf numFmtId="0" fontId="46" fillId="0" borderId="0" xfId="6" applyFont="1" applyBorder="1" applyAlignment="1">
      <alignment horizontal="left" vertical="top" wrapText="1"/>
    </xf>
    <xf numFmtId="0" fontId="46" fillId="0" borderId="0" xfId="6" applyFont="1" applyAlignment="1"/>
    <xf numFmtId="0" fontId="3" fillId="0" borderId="0" xfId="6" applyFont="1" applyAlignment="1"/>
    <xf numFmtId="0" fontId="47" fillId="0" borderId="0" xfId="6" applyFont="1" applyAlignment="1"/>
    <xf numFmtId="0" fontId="47" fillId="0" borderId="0" xfId="6" applyFont="1" applyBorder="1" applyAlignment="1"/>
    <xf numFmtId="0" fontId="14" fillId="0" borderId="0" xfId="6" applyFont="1"/>
    <xf numFmtId="0" fontId="48" fillId="0" borderId="0" xfId="6" applyFont="1" applyAlignment="1">
      <alignment horizontal="center"/>
    </xf>
    <xf numFmtId="0" fontId="48" fillId="0" borderId="0" xfId="6" applyFont="1"/>
    <xf numFmtId="0" fontId="49" fillId="0" borderId="0" xfId="6" applyFont="1" applyBorder="1" applyAlignment="1">
      <alignment horizontal="left" wrapText="1"/>
    </xf>
    <xf numFmtId="0" fontId="10" fillId="0" borderId="0" xfId="6" applyFont="1" applyBorder="1" applyAlignment="1">
      <alignment horizontal="center" vertical="center"/>
    </xf>
    <xf numFmtId="0" fontId="50" fillId="0" borderId="0" xfId="6" applyFont="1"/>
    <xf numFmtId="0" fontId="34" fillId="0" borderId="0" xfId="2" applyFont="1"/>
    <xf numFmtId="0" fontId="51" fillId="0" borderId="0" xfId="2" applyFont="1" applyBorder="1" applyAlignment="1" applyProtection="1">
      <protection locked="0"/>
    </xf>
    <xf numFmtId="0" fontId="52" fillId="16" borderId="57" xfId="2" applyFont="1" applyFill="1" applyBorder="1" applyAlignment="1" applyProtection="1">
      <protection locked="0"/>
    </xf>
    <xf numFmtId="0" fontId="51" fillId="0" borderId="57" xfId="2" applyFont="1" applyBorder="1" applyAlignment="1" applyProtection="1">
      <protection locked="0"/>
    </xf>
    <xf numFmtId="0" fontId="51" fillId="0" borderId="0" xfId="2" applyFont="1" applyBorder="1" applyAlignment="1" applyProtection="1">
      <alignment horizontal="left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39" fillId="0" borderId="42" xfId="2" applyFont="1" applyBorder="1"/>
    <xf numFmtId="0" fontId="34" fillId="0" borderId="0" xfId="2" applyFont="1" applyAlignment="1"/>
    <xf numFmtId="9" fontId="34" fillId="0" borderId="0" xfId="2" applyNumberFormat="1" applyFont="1" applyBorder="1" applyAlignment="1"/>
    <xf numFmtId="0" fontId="34" fillId="0" borderId="0" xfId="2" applyFont="1" applyBorder="1" applyAlignment="1"/>
    <xf numFmtId="0" fontId="53" fillId="0" borderId="0" xfId="2" applyFont="1" applyAlignment="1"/>
    <xf numFmtId="0" fontId="39" fillId="13" borderId="42" xfId="2" applyFont="1" applyFill="1" applyBorder="1" applyAlignment="1">
      <alignment horizontal="center"/>
    </xf>
    <xf numFmtId="0" fontId="39" fillId="13" borderId="42" xfId="2" applyFont="1" applyFill="1" applyBorder="1"/>
    <xf numFmtId="0" fontId="39" fillId="0" borderId="42" xfId="2" applyFont="1" applyBorder="1" applyAlignment="1">
      <alignment horizontal="center"/>
    </xf>
    <xf numFmtId="0" fontId="36" fillId="0" borderId="57" xfId="2" applyFont="1" applyBorder="1" applyAlignment="1">
      <alignment horizontal="center"/>
    </xf>
    <xf numFmtId="170" fontId="36" fillId="0" borderId="57" xfId="2" applyNumberFormat="1" applyFont="1" applyBorder="1" applyAlignment="1">
      <alignment horizontal="center"/>
    </xf>
    <xf numFmtId="0" fontId="55" fillId="0" borderId="0" xfId="2" applyFont="1" applyAlignment="1"/>
    <xf numFmtId="0" fontId="56" fillId="0" borderId="0" xfId="2" applyFont="1" applyAlignment="1"/>
    <xf numFmtId="0" fontId="39" fillId="13" borderId="63" xfId="2" applyFont="1" applyFill="1" applyBorder="1" applyAlignment="1" applyProtection="1">
      <alignment horizontal="center"/>
      <protection locked="0"/>
    </xf>
    <xf numFmtId="10" fontId="39" fillId="13" borderId="63" xfId="2" applyNumberFormat="1" applyFont="1" applyFill="1" applyBorder="1" applyAlignment="1" applyProtection="1">
      <alignment horizontal="center"/>
      <protection locked="0"/>
    </xf>
    <xf numFmtId="9" fontId="39" fillId="13" borderId="63" xfId="2" applyNumberFormat="1" applyFont="1" applyFill="1" applyBorder="1" applyAlignment="1" applyProtection="1">
      <protection locked="0"/>
    </xf>
    <xf numFmtId="0" fontId="39" fillId="0" borderId="42" xfId="2" applyFont="1" applyBorder="1" applyAlignment="1" applyProtection="1">
      <alignment horizontal="center"/>
      <protection locked="0"/>
    </xf>
    <xf numFmtId="0" fontId="39" fillId="13" borderId="64" xfId="2" applyFont="1" applyFill="1" applyBorder="1" applyAlignment="1" applyProtection="1">
      <alignment horizontal="center"/>
      <protection locked="0"/>
    </xf>
    <xf numFmtId="9" fontId="39" fillId="13" borderId="63" xfId="2" applyNumberFormat="1" applyFont="1" applyFill="1" applyBorder="1" applyAlignment="1" applyProtection="1">
      <alignment horizontal="center"/>
      <protection locked="0"/>
    </xf>
    <xf numFmtId="0" fontId="39" fillId="13" borderId="64" xfId="2" applyFont="1" applyFill="1" applyBorder="1" applyAlignment="1" applyProtection="1">
      <alignment horizontal="left"/>
      <protection locked="0"/>
    </xf>
    <xf numFmtId="0" fontId="36" fillId="13" borderId="65" xfId="2" applyFont="1" applyFill="1" applyBorder="1" applyAlignment="1">
      <alignment horizontal="center"/>
    </xf>
    <xf numFmtId="9" fontId="39" fillId="0" borderId="63" xfId="2" applyNumberFormat="1" applyFont="1" applyBorder="1" applyAlignment="1" applyProtection="1">
      <protection locked="0"/>
    </xf>
    <xf numFmtId="9" fontId="39" fillId="0" borderId="62" xfId="2" applyNumberFormat="1" applyFont="1" applyBorder="1" applyAlignment="1" applyProtection="1">
      <protection locked="0"/>
    </xf>
    <xf numFmtId="0" fontId="39" fillId="0" borderId="69" xfId="2" applyFont="1" applyBorder="1" applyAlignment="1" applyProtection="1">
      <protection locked="0"/>
    </xf>
    <xf numFmtId="0" fontId="39" fillId="0" borderId="64" xfId="2" applyFont="1" applyBorder="1" applyAlignment="1" applyProtection="1">
      <alignment horizontal="left"/>
      <protection locked="0"/>
    </xf>
    <xf numFmtId="170" fontId="36" fillId="13" borderId="70" xfId="2" applyNumberFormat="1" applyFont="1" applyFill="1" applyBorder="1" applyAlignment="1" applyProtection="1">
      <alignment horizontal="center"/>
    </xf>
    <xf numFmtId="170" fontId="36" fillId="13" borderId="71" xfId="2" applyNumberFormat="1" applyFont="1" applyFill="1" applyBorder="1" applyAlignment="1" applyProtection="1">
      <alignment horizontal="center"/>
    </xf>
    <xf numFmtId="0" fontId="34" fillId="0" borderId="36" xfId="2" applyFont="1" applyBorder="1" applyAlignment="1"/>
    <xf numFmtId="0" fontId="34" fillId="0" borderId="35" xfId="2" applyFont="1" applyBorder="1" applyAlignment="1">
      <alignment horizontal="center"/>
    </xf>
    <xf numFmtId="0" fontId="34" fillId="0" borderId="74" xfId="2" applyFont="1" applyBorder="1" applyAlignment="1">
      <alignment horizontal="center"/>
    </xf>
    <xf numFmtId="0" fontId="34" fillId="0" borderId="74" xfId="2" applyFont="1" applyBorder="1" applyAlignment="1" applyProtection="1">
      <alignment horizontal="center"/>
      <protection locked="0"/>
    </xf>
    <xf numFmtId="0" fontId="34" fillId="0" borderId="35" xfId="2" applyFont="1" applyBorder="1" applyAlignment="1" applyProtection="1">
      <alignment horizontal="center"/>
      <protection locked="0"/>
    </xf>
    <xf numFmtId="0" fontId="34" fillId="0" borderId="75" xfId="2" applyFont="1" applyBorder="1" applyAlignment="1" applyProtection="1">
      <alignment horizontal="center"/>
      <protection locked="0"/>
    </xf>
    <xf numFmtId="0" fontId="34" fillId="13" borderId="35" xfId="2" applyFont="1" applyFill="1" applyBorder="1" applyAlignment="1">
      <alignment horizontal="left"/>
    </xf>
    <xf numFmtId="0" fontId="34" fillId="13" borderId="34" xfId="2" applyFont="1" applyFill="1" applyBorder="1" applyAlignment="1">
      <alignment horizontal="left"/>
    </xf>
    <xf numFmtId="0" fontId="39" fillId="0" borderId="76" xfId="2" applyFont="1" applyBorder="1" applyAlignment="1">
      <alignment horizontal="center"/>
    </xf>
    <xf numFmtId="0" fontId="39" fillId="0" borderId="77" xfId="2" applyFont="1" applyBorder="1" applyAlignment="1">
      <alignment horizontal="center"/>
    </xf>
    <xf numFmtId="0" fontId="39" fillId="0" borderId="78" xfId="2" applyFont="1" applyBorder="1" applyAlignment="1">
      <alignment horizontal="center"/>
    </xf>
    <xf numFmtId="0" fontId="39" fillId="0" borderId="79" xfId="2" applyFont="1" applyBorder="1" applyAlignment="1">
      <alignment horizontal="center"/>
    </xf>
    <xf numFmtId="0" fontId="36" fillId="13" borderId="73" xfId="2" applyFont="1" applyFill="1" applyBorder="1" applyAlignment="1" applyProtection="1">
      <alignment horizontal="center"/>
    </xf>
    <xf numFmtId="170" fontId="36" fillId="13" borderId="74" xfId="2" applyNumberFormat="1" applyFont="1" applyFill="1" applyBorder="1" applyAlignment="1" applyProtection="1">
      <alignment horizontal="center"/>
    </xf>
    <xf numFmtId="0" fontId="34" fillId="0" borderId="71" xfId="2" applyFont="1" applyBorder="1" applyAlignment="1"/>
    <xf numFmtId="0" fontId="34" fillId="0" borderId="0" xfId="2" applyFont="1" applyBorder="1" applyAlignment="1">
      <alignment horizontal="center"/>
    </xf>
    <xf numFmtId="0" fontId="34" fillId="0" borderId="71" xfId="2" applyFont="1" applyBorder="1" applyAlignment="1">
      <alignment horizontal="center"/>
    </xf>
    <xf numFmtId="0" fontId="34" fillId="0" borderId="71" xfId="2" applyFont="1" applyBorder="1" applyAlignment="1" applyProtection="1">
      <alignment horizontal="center"/>
      <protection locked="0"/>
    </xf>
    <xf numFmtId="0" fontId="34" fillId="0" borderId="0" xfId="2" applyFont="1" applyBorder="1" applyAlignment="1" applyProtection="1">
      <alignment horizontal="center" vertical="center"/>
      <protection locked="0"/>
    </xf>
    <xf numFmtId="0" fontId="34" fillId="0" borderId="81" xfId="2" applyFont="1" applyBorder="1" applyAlignment="1" applyProtection="1">
      <alignment horizontal="center" vertical="center"/>
      <protection locked="0"/>
    </xf>
    <xf numFmtId="0" fontId="34" fillId="13" borderId="0" xfId="2" applyFont="1" applyFill="1" applyBorder="1" applyAlignment="1">
      <alignment horizontal="left" vertical="center"/>
    </xf>
    <xf numFmtId="0" fontId="34" fillId="13" borderId="33" xfId="2" applyFont="1" applyFill="1" applyBorder="1" applyAlignment="1">
      <alignment horizontal="left" vertical="center"/>
    </xf>
    <xf numFmtId="0" fontId="36" fillId="13" borderId="70" xfId="2" applyFont="1" applyFill="1" applyBorder="1" applyAlignment="1" applyProtection="1">
      <alignment horizontal="center"/>
    </xf>
    <xf numFmtId="171" fontId="36" fillId="0" borderId="59" xfId="2" applyNumberFormat="1" applyFont="1" applyBorder="1" applyAlignment="1" applyProtection="1">
      <alignment horizontal="center"/>
      <protection locked="0"/>
    </xf>
    <xf numFmtId="0" fontId="34" fillId="13" borderId="0" xfId="2" applyFont="1" applyFill="1" applyBorder="1" applyAlignment="1">
      <alignment horizontal="left"/>
    </xf>
    <xf numFmtId="170" fontId="39" fillId="0" borderId="76" xfId="2" applyNumberFormat="1" applyFont="1" applyBorder="1" applyAlignment="1">
      <alignment horizontal="center"/>
    </xf>
    <xf numFmtId="170" fontId="39" fillId="0" borderId="77" xfId="2" applyNumberFormat="1" applyFont="1" applyBorder="1" applyAlignment="1">
      <alignment horizontal="center"/>
    </xf>
    <xf numFmtId="170" fontId="39" fillId="0" borderId="78" xfId="2" applyNumberFormat="1" applyFont="1" applyBorder="1" applyAlignment="1">
      <alignment horizontal="center"/>
    </xf>
    <xf numFmtId="170" fontId="39" fillId="0" borderId="79" xfId="2" applyNumberFormat="1" applyFont="1" applyBorder="1" applyAlignment="1">
      <alignment horizontal="center"/>
    </xf>
    <xf numFmtId="172" fontId="36" fillId="13" borderId="71" xfId="2" applyNumberFormat="1" applyFont="1" applyFill="1" applyBorder="1" applyAlignment="1" applyProtection="1">
      <alignment horizontal="center"/>
    </xf>
    <xf numFmtId="0" fontId="34" fillId="0" borderId="0" xfId="2" applyBorder="1"/>
    <xf numFmtId="0" fontId="34" fillId="13" borderId="33" xfId="2" applyFont="1" applyFill="1" applyBorder="1" applyAlignment="1">
      <alignment horizontal="left"/>
    </xf>
    <xf numFmtId="0" fontId="39" fillId="0" borderId="50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49" xfId="2" applyFont="1" applyBorder="1" applyAlignment="1">
      <alignment horizontal="center"/>
    </xf>
    <xf numFmtId="0" fontId="39" fillId="0" borderId="41" xfId="2" applyFont="1" applyBorder="1" applyAlignment="1">
      <alignment horizontal="center"/>
    </xf>
    <xf numFmtId="0" fontId="34" fillId="0" borderId="81" xfId="2" applyFont="1" applyBorder="1" applyAlignment="1" applyProtection="1">
      <alignment horizontal="center"/>
      <protection locked="0"/>
    </xf>
    <xf numFmtId="0" fontId="36" fillId="13" borderId="73" xfId="2" applyFont="1" applyFill="1" applyBorder="1" applyAlignment="1" applyProtection="1"/>
    <xf numFmtId="170" fontId="36" fillId="13" borderId="73" xfId="2" applyNumberFormat="1" applyFont="1" applyFill="1" applyBorder="1" applyAlignment="1" applyProtection="1"/>
    <xf numFmtId="0" fontId="34" fillId="0" borderId="35" xfId="2" applyFont="1" applyBorder="1" applyAlignment="1"/>
    <xf numFmtId="0" fontId="34" fillId="0" borderId="35" xfId="2" applyFont="1" applyBorder="1" applyAlignment="1" applyProtection="1">
      <alignment horizontal="center" vertical="center"/>
      <protection locked="0"/>
    </xf>
    <xf numFmtId="0" fontId="34" fillId="0" borderId="75" xfId="2" applyFont="1" applyBorder="1" applyAlignment="1" applyProtection="1">
      <alignment horizontal="center" vertical="center"/>
      <protection locked="0"/>
    </xf>
    <xf numFmtId="0" fontId="34" fillId="13" borderId="35" xfId="2" applyFont="1" applyFill="1" applyBorder="1" applyAlignment="1">
      <alignment horizontal="left" vertical="center"/>
    </xf>
    <xf numFmtId="0" fontId="34" fillId="13" borderId="34" xfId="2" applyFont="1" applyFill="1" applyBorder="1" applyAlignment="1">
      <alignment horizontal="left" vertical="center"/>
    </xf>
    <xf numFmtId="171" fontId="36" fillId="0" borderId="57" xfId="2" applyNumberFormat="1" applyFont="1" applyBorder="1" applyAlignment="1" applyProtection="1">
      <alignment horizontal="center"/>
      <protection locked="0"/>
    </xf>
    <xf numFmtId="172" fontId="36" fillId="13" borderId="70" xfId="2" applyNumberFormat="1" applyFont="1" applyFill="1" applyBorder="1" applyAlignment="1" applyProtection="1">
      <alignment horizontal="center"/>
    </xf>
    <xf numFmtId="0" fontId="36" fillId="13" borderId="86" xfId="2" applyFont="1" applyFill="1" applyBorder="1" applyAlignment="1" applyProtection="1">
      <alignment horizontal="center"/>
    </xf>
    <xf numFmtId="172" fontId="36" fillId="13" borderId="86" xfId="2" applyNumberFormat="1" applyFont="1" applyFill="1" applyBorder="1" applyAlignment="1" applyProtection="1">
      <alignment horizontal="center"/>
    </xf>
    <xf numFmtId="0" fontId="34" fillId="0" borderId="30" xfId="2" applyFont="1" applyBorder="1" applyAlignment="1"/>
    <xf numFmtId="0" fontId="34" fillId="0" borderId="30" xfId="2" applyFont="1" applyBorder="1" applyAlignment="1">
      <alignment horizontal="center"/>
    </xf>
    <xf numFmtId="0" fontId="34" fillId="0" borderId="89" xfId="2" applyFont="1" applyBorder="1" applyAlignment="1">
      <alignment horizontal="center"/>
    </xf>
    <xf numFmtId="0" fontId="34" fillId="0" borderId="89" xfId="2" applyFont="1" applyBorder="1" applyAlignment="1" applyProtection="1">
      <alignment horizontal="center"/>
      <protection locked="0"/>
    </xf>
    <xf numFmtId="0" fontId="34" fillId="0" borderId="30" xfId="2" applyFont="1" applyBorder="1" applyAlignment="1" applyProtection="1">
      <alignment horizontal="center" vertical="center"/>
      <protection locked="0"/>
    </xf>
    <xf numFmtId="0" fontId="34" fillId="0" borderId="90" xfId="2" applyFont="1" applyBorder="1" applyAlignment="1" applyProtection="1">
      <alignment horizontal="center" vertical="center"/>
      <protection locked="0"/>
    </xf>
    <xf numFmtId="0" fontId="34" fillId="13" borderId="30" xfId="2" applyFont="1" applyFill="1" applyBorder="1" applyAlignment="1">
      <alignment horizontal="left" vertical="center"/>
    </xf>
    <xf numFmtId="0" fontId="34" fillId="13" borderId="31" xfId="2" applyFont="1" applyFill="1" applyBorder="1" applyAlignment="1">
      <alignment horizontal="left" vertical="center"/>
    </xf>
    <xf numFmtId="0" fontId="34" fillId="0" borderId="30" xfId="2" applyFont="1" applyBorder="1" applyAlignment="1" applyProtection="1">
      <alignment horizontal="center"/>
      <protection locked="0"/>
    </xf>
    <xf numFmtId="0" fontId="34" fillId="0" borderId="90" xfId="2" applyFont="1" applyBorder="1" applyAlignment="1" applyProtection="1">
      <alignment horizontal="center"/>
      <protection locked="0"/>
    </xf>
    <xf numFmtId="0" fontId="34" fillId="13" borderId="30" xfId="2" applyFont="1" applyFill="1" applyBorder="1" applyAlignment="1">
      <alignment horizontal="left"/>
    </xf>
    <xf numFmtId="0" fontId="34" fillId="13" borderId="31" xfId="2" applyFont="1" applyFill="1" applyBorder="1" applyAlignment="1">
      <alignment horizontal="left"/>
    </xf>
    <xf numFmtId="0" fontId="34" fillId="0" borderId="73" xfId="2" applyFont="1" applyBorder="1" applyAlignment="1">
      <alignment horizontal="center"/>
    </xf>
    <xf numFmtId="0" fontId="34" fillId="0" borderId="70" xfId="2" applyFont="1" applyBorder="1" applyAlignment="1">
      <alignment horizontal="center"/>
    </xf>
    <xf numFmtId="0" fontId="34" fillId="0" borderId="86" xfId="2" applyFont="1" applyBorder="1" applyAlignment="1">
      <alignment horizontal="center"/>
    </xf>
    <xf numFmtId="0" fontId="39" fillId="0" borderId="76" xfId="2" applyFont="1" applyBorder="1" applyAlignment="1">
      <alignment horizontal="left"/>
    </xf>
    <xf numFmtId="0" fontId="39" fillId="0" borderId="77" xfId="2" applyFont="1" applyBorder="1" applyAlignment="1">
      <alignment horizontal="left"/>
    </xf>
    <xf numFmtId="0" fontId="39" fillId="0" borderId="78" xfId="2" applyFont="1" applyBorder="1" applyAlignment="1">
      <alignment horizontal="left"/>
    </xf>
    <xf numFmtId="0" fontId="39" fillId="0" borderId="79" xfId="2" applyFont="1" applyBorder="1" applyAlignment="1">
      <alignment horizontal="left"/>
    </xf>
    <xf numFmtId="0" fontId="36" fillId="13" borderId="70" xfId="2" applyFont="1" applyFill="1" applyBorder="1" applyAlignment="1" applyProtection="1"/>
    <xf numFmtId="170" fontId="36" fillId="13" borderId="70" xfId="2" applyNumberFormat="1" applyFont="1" applyFill="1" applyBorder="1" applyAlignment="1" applyProtection="1"/>
    <xf numFmtId="0" fontId="36" fillId="13" borderId="86" xfId="2" applyFont="1" applyFill="1" applyBorder="1" applyAlignment="1" applyProtection="1"/>
    <xf numFmtId="170" fontId="36" fillId="13" borderId="86" xfId="2" applyNumberFormat="1" applyFont="1" applyFill="1" applyBorder="1" applyAlignment="1" applyProtection="1"/>
    <xf numFmtId="170" fontId="36" fillId="13" borderId="73" xfId="2" applyNumberFormat="1" applyFont="1" applyFill="1" applyBorder="1" applyAlignment="1" applyProtection="1">
      <alignment horizontal="center"/>
    </xf>
    <xf numFmtId="0" fontId="34" fillId="0" borderId="35" xfId="2" applyBorder="1"/>
    <xf numFmtId="0" fontId="39" fillId="0" borderId="79" xfId="2" applyFont="1" applyBorder="1" applyAlignment="1" applyProtection="1">
      <alignment horizontal="left"/>
      <protection locked="0"/>
    </xf>
    <xf numFmtId="0" fontId="34" fillId="0" borderId="30" xfId="2" applyBorder="1"/>
    <xf numFmtId="0" fontId="36" fillId="0" borderId="91" xfId="2" applyFont="1" applyBorder="1" applyAlignment="1">
      <alignment horizontal="center"/>
    </xf>
    <xf numFmtId="0" fontId="34" fillId="0" borderId="32" xfId="2" applyFont="1" applyBorder="1" applyAlignment="1">
      <alignment horizontal="center"/>
    </xf>
    <xf numFmtId="0" fontId="34" fillId="0" borderId="31" xfId="2" applyFont="1" applyBorder="1" applyAlignment="1">
      <alignment horizontal="center"/>
    </xf>
    <xf numFmtId="0" fontId="34" fillId="0" borderId="91" xfId="2" applyFont="1" applyBorder="1" applyAlignment="1">
      <alignment horizontal="center"/>
    </xf>
    <xf numFmtId="0" fontId="34" fillId="0" borderId="58" xfId="2" applyFont="1" applyBorder="1" applyAlignment="1">
      <alignment horizontal="left"/>
    </xf>
    <xf numFmtId="0" fontId="34" fillId="13" borderId="78" xfId="2" applyFont="1" applyFill="1" applyBorder="1" applyAlignment="1">
      <alignment horizontal="left"/>
    </xf>
    <xf numFmtId="0" fontId="36" fillId="13" borderId="91" xfId="2" applyFont="1" applyFill="1" applyBorder="1" applyAlignment="1">
      <alignment horizontal="left"/>
    </xf>
    <xf numFmtId="0" fontId="39" fillId="13" borderId="56" xfId="2" applyFont="1" applyFill="1" applyBorder="1"/>
    <xf numFmtId="0" fontId="54" fillId="13" borderId="92" xfId="2" applyFont="1" applyFill="1" applyBorder="1" applyAlignment="1">
      <alignment horizontal="center"/>
    </xf>
    <xf numFmtId="0" fontId="54" fillId="13" borderId="93" xfId="2" applyFont="1" applyFill="1" applyBorder="1" applyAlignment="1">
      <alignment horizontal="center"/>
    </xf>
    <xf numFmtId="0" fontId="54" fillId="13" borderId="94" xfId="2" applyFont="1" applyFill="1" applyBorder="1" applyAlignment="1">
      <alignment horizontal="center"/>
    </xf>
    <xf numFmtId="0" fontId="54" fillId="13" borderId="50" xfId="2" applyFont="1" applyFill="1" applyBorder="1" applyAlignment="1">
      <alignment horizontal="center"/>
    </xf>
    <xf numFmtId="0" fontId="54" fillId="13" borderId="49" xfId="2" applyFont="1" applyFill="1" applyBorder="1" applyAlignment="1">
      <alignment horizontal="center"/>
    </xf>
    <xf numFmtId="0" fontId="36" fillId="13" borderId="59" xfId="2" applyFont="1" applyFill="1" applyBorder="1" applyAlignment="1">
      <alignment horizontal="center"/>
    </xf>
    <xf numFmtId="0" fontId="36" fillId="13" borderId="61" xfId="2" applyFont="1" applyFill="1" applyBorder="1" applyAlignment="1">
      <alignment horizontal="center"/>
    </xf>
    <xf numFmtId="0" fontId="36" fillId="13" borderId="57" xfId="2" applyFont="1" applyFill="1" applyBorder="1" applyAlignment="1">
      <alignment horizontal="center"/>
    </xf>
    <xf numFmtId="0" fontId="36" fillId="13" borderId="95" xfId="2" applyFont="1" applyFill="1" applyBorder="1" applyAlignment="1">
      <alignment horizontal="center"/>
    </xf>
    <xf numFmtId="0" fontId="36" fillId="13" borderId="78" xfId="2" applyFont="1" applyFill="1" applyBorder="1" applyAlignment="1">
      <alignment horizontal="center"/>
    </xf>
    <xf numFmtId="0" fontId="36" fillId="13" borderId="91" xfId="2" applyFont="1" applyFill="1" applyBorder="1" applyAlignment="1">
      <alignment horizontal="center"/>
    </xf>
    <xf numFmtId="0" fontId="36" fillId="13" borderId="66" xfId="2" applyFont="1" applyFill="1" applyBorder="1" applyAlignment="1">
      <alignment horizontal="center"/>
    </xf>
    <xf numFmtId="0" fontId="36" fillId="13" borderId="68" xfId="2" applyFont="1" applyFill="1" applyBorder="1" applyAlignment="1">
      <alignment horizontal="center"/>
    </xf>
    <xf numFmtId="0" fontId="36" fillId="13" borderId="68" xfId="2" applyFont="1" applyFill="1" applyBorder="1" applyAlignment="1"/>
    <xf numFmtId="0" fontId="36" fillId="13" borderId="67" xfId="2" applyFont="1" applyFill="1" applyBorder="1" applyAlignment="1"/>
    <xf numFmtId="0" fontId="39" fillId="13" borderId="40" xfId="2" applyFont="1" applyFill="1" applyBorder="1"/>
    <xf numFmtId="0" fontId="54" fillId="13" borderId="93" xfId="2" applyFont="1" applyFill="1" applyBorder="1" applyAlignment="1"/>
    <xf numFmtId="0" fontId="54" fillId="13" borderId="94" xfId="2" applyFont="1" applyFill="1" applyBorder="1" applyAlignment="1"/>
    <xf numFmtId="0" fontId="36" fillId="13" borderId="58" xfId="2" applyFont="1" applyFill="1" applyBorder="1" applyAlignment="1" applyProtection="1">
      <alignment horizontal="center"/>
    </xf>
    <xf numFmtId="0" fontId="36" fillId="13" borderId="60" xfId="2" applyFont="1" applyFill="1" applyBorder="1" applyAlignment="1"/>
    <xf numFmtId="0" fontId="36" fillId="13" borderId="78" xfId="2" applyFont="1" applyFill="1" applyBorder="1" applyAlignment="1">
      <alignment horizontal="left"/>
    </xf>
    <xf numFmtId="0" fontId="36" fillId="13" borderId="78" xfId="2" applyFont="1" applyFill="1" applyBorder="1" applyAlignment="1">
      <alignment horizontal="right"/>
    </xf>
    <xf numFmtId="0" fontId="36" fillId="13" borderId="78" xfId="2" applyFont="1" applyFill="1" applyBorder="1" applyAlignment="1"/>
    <xf numFmtId="0" fontId="36" fillId="13" borderId="91" xfId="2" applyFont="1" applyFill="1" applyBorder="1" applyAlignment="1"/>
    <xf numFmtId="0" fontId="34" fillId="0" borderId="0" xfId="2" applyAlignment="1"/>
    <xf numFmtId="0" fontId="34" fillId="0" borderId="0" xfId="2" applyFont="1" applyAlignment="1">
      <alignment horizontal="center"/>
    </xf>
    <xf numFmtId="0" fontId="57" fillId="0" borderId="0" xfId="2" applyFont="1" applyBorder="1" applyAlignment="1">
      <alignment horizontal="center" vertical="center"/>
    </xf>
    <xf numFmtId="0" fontId="34" fillId="0" borderId="0" xfId="2" applyFont="1" applyAlignment="1">
      <alignment horizontal="left"/>
    </xf>
    <xf numFmtId="0" fontId="39" fillId="0" borderId="0" xfId="2" applyFont="1" applyAlignment="1"/>
    <xf numFmtId="0" fontId="34" fillId="0" borderId="0" xfId="2" applyFont="1" applyBorder="1" applyAlignment="1">
      <alignment horizontal="left"/>
    </xf>
    <xf numFmtId="0" fontId="34" fillId="0" borderId="0" xfId="2" applyFont="1" applyAlignment="1" applyProtection="1">
      <protection locked="0"/>
    </xf>
    <xf numFmtId="0" fontId="57" fillId="0" borderId="0" xfId="2" applyFont="1" applyBorder="1" applyAlignment="1">
      <alignment horizontal="center"/>
    </xf>
    <xf numFmtId="173" fontId="34" fillId="0" borderId="0" xfId="2" applyNumberFormat="1" applyFont="1" applyAlignment="1" applyProtection="1">
      <protection locked="0"/>
    </xf>
    <xf numFmtId="0" fontId="34" fillId="0" borderId="0" xfId="2" applyFont="1" applyAlignment="1" applyProtection="1">
      <alignment horizontal="left"/>
      <protection locked="0"/>
    </xf>
    <xf numFmtId="0" fontId="34" fillId="0" borderId="0" xfId="2" applyFont="1" applyAlignment="1">
      <alignment vertical="center"/>
    </xf>
    <xf numFmtId="0" fontId="57" fillId="0" borderId="57" xfId="2" applyFont="1" applyBorder="1" applyAlignment="1" applyProtection="1">
      <alignment horizontal="center"/>
      <protection locked="0"/>
    </xf>
    <xf numFmtId="0" fontId="34" fillId="0" borderId="0" xfId="2" applyFont="1" applyAlignment="1" applyProtection="1">
      <alignment horizontal="center"/>
      <protection locked="0"/>
    </xf>
    <xf numFmtId="0" fontId="34" fillId="0" borderId="81" xfId="2" applyFont="1" applyBorder="1" applyAlignment="1">
      <alignment horizontal="left"/>
    </xf>
    <xf numFmtId="0" fontId="34" fillId="0" borderId="0" xfId="2" applyFont="1" applyAlignment="1">
      <alignment horizontal="right"/>
    </xf>
    <xf numFmtId="0" fontId="36" fillId="13" borderId="60" xfId="2" applyFont="1" applyFill="1" applyBorder="1" applyAlignment="1">
      <alignment horizontal="center"/>
    </xf>
    <xf numFmtId="0" fontId="36" fillId="13" borderId="61" xfId="2" applyFont="1" applyFill="1" applyBorder="1" applyAlignment="1">
      <alignment horizontal="left"/>
    </xf>
    <xf numFmtId="173" fontId="34" fillId="0" borderId="0" xfId="2" applyNumberFormat="1" applyFont="1" applyAlignment="1" applyProtection="1">
      <alignment horizontal="left"/>
      <protection locked="0"/>
    </xf>
    <xf numFmtId="2" fontId="34" fillId="0" borderId="0" xfId="2" applyNumberFormat="1" applyFont="1" applyAlignment="1" applyProtection="1">
      <alignment horizontal="left"/>
      <protection locked="0"/>
    </xf>
    <xf numFmtId="49" fontId="34" fillId="0" borderId="0" xfId="2" applyNumberFormat="1" applyFont="1" applyAlignment="1">
      <alignment horizontal="left"/>
    </xf>
    <xf numFmtId="0" fontId="39" fillId="0" borderId="57" xfId="2" applyFont="1" applyBorder="1" applyAlignment="1">
      <alignment horizontal="center"/>
    </xf>
    <xf numFmtId="0" fontId="34" fillId="0" borderId="59" xfId="2" applyBorder="1" applyProtection="1"/>
    <xf numFmtId="0" fontId="39" fillId="0" borderId="61" xfId="2" applyFont="1" applyBorder="1" applyAlignment="1" applyProtection="1">
      <alignment horizontal="left"/>
    </xf>
    <xf numFmtId="0" fontId="39" fillId="0" borderId="60" xfId="2" applyFont="1" applyBorder="1" applyAlignment="1" applyProtection="1">
      <alignment horizontal="center"/>
    </xf>
    <xf numFmtId="0" fontId="39" fillId="17" borderId="66" xfId="2" applyFont="1" applyFill="1" applyBorder="1" applyAlignment="1"/>
    <xf numFmtId="0" fontId="34" fillId="17" borderId="68" xfId="2" applyFont="1" applyFill="1" applyBorder="1" applyAlignment="1"/>
    <xf numFmtId="0" fontId="39" fillId="17" borderId="68" xfId="2" applyFont="1" applyFill="1" applyBorder="1" applyAlignment="1"/>
    <xf numFmtId="0" fontId="34" fillId="17" borderId="68" xfId="2" applyFont="1" applyFill="1" applyBorder="1" applyAlignment="1">
      <alignment horizontal="left"/>
    </xf>
    <xf numFmtId="0" fontId="36" fillId="17" borderId="67" xfId="2" applyFont="1" applyFill="1" applyBorder="1" applyAlignment="1"/>
    <xf numFmtId="0" fontId="36" fillId="0" borderId="0" xfId="2" applyFont="1" applyBorder="1" applyAlignment="1">
      <alignment horizontal="left"/>
    </xf>
    <xf numFmtId="0" fontId="36" fillId="13" borderId="59" xfId="2" applyFont="1" applyFill="1" applyBorder="1" applyAlignment="1"/>
    <xf numFmtId="0" fontId="36" fillId="13" borderId="61" xfId="2" applyFont="1" applyFill="1" applyBorder="1" applyAlignment="1"/>
    <xf numFmtId="0" fontId="36" fillId="0" borderId="0" xfId="2" applyFont="1" applyBorder="1" applyAlignment="1">
      <alignment horizontal="center"/>
    </xf>
    <xf numFmtId="0" fontId="36" fillId="13" borderId="59" xfId="2" applyFont="1" applyFill="1" applyBorder="1" applyAlignment="1" applyProtection="1">
      <alignment horizontal="left"/>
    </xf>
    <xf numFmtId="0" fontId="36" fillId="13" borderId="61" xfId="2" applyFont="1" applyFill="1" applyBorder="1" applyAlignment="1" applyProtection="1">
      <alignment horizontal="left"/>
    </xf>
    <xf numFmtId="0" fontId="62" fillId="0" borderId="0" xfId="7"/>
    <xf numFmtId="0" fontId="57" fillId="0" borderId="85" xfId="2" applyFont="1" applyBorder="1" applyAlignment="1" applyProtection="1">
      <alignment horizontal="center" vertical="center"/>
      <protection locked="0"/>
    </xf>
    <xf numFmtId="0" fontId="57" fillId="0" borderId="83" xfId="2" applyFont="1" applyBorder="1" applyAlignment="1" applyProtection="1">
      <alignment horizontal="center" vertical="center"/>
      <protection locked="0"/>
    </xf>
    <xf numFmtId="0" fontId="57" fillId="0" borderId="80" xfId="2" applyFont="1" applyBorder="1" applyAlignment="1" applyProtection="1">
      <alignment horizontal="center" vertical="center"/>
      <protection locked="0"/>
    </xf>
    <xf numFmtId="0" fontId="57" fillId="0" borderId="72" xfId="2" applyFont="1" applyBorder="1" applyAlignment="1" applyProtection="1">
      <alignment horizontal="center" vertical="center"/>
      <protection locked="0"/>
    </xf>
    <xf numFmtId="49" fontId="34" fillId="0" borderId="57" xfId="2" quotePrefix="1" applyNumberFormat="1" applyFont="1" applyBorder="1" applyAlignment="1" applyProtection="1">
      <protection locked="0"/>
    </xf>
    <xf numFmtId="173" fontId="34" fillId="0" borderId="57" xfId="2" quotePrefix="1" applyNumberFormat="1" applyFont="1" applyBorder="1" applyAlignment="1" applyProtection="1">
      <protection locked="0"/>
    </xf>
    <xf numFmtId="173" fontId="34" fillId="0" borderId="57" xfId="2" applyNumberFormat="1" applyFont="1" applyBorder="1" applyAlignment="1" applyProtection="1">
      <protection locked="0"/>
    </xf>
    <xf numFmtId="0" fontId="34" fillId="19" borderId="96" xfId="2" applyFont="1" applyFill="1" applyBorder="1"/>
    <xf numFmtId="0" fontId="64" fillId="7" borderId="96" xfId="2" applyFont="1" applyFill="1" applyBorder="1" applyAlignment="1">
      <alignment horizontal="center"/>
    </xf>
    <xf numFmtId="0" fontId="34" fillId="0" borderId="97" xfId="2" applyFont="1" applyBorder="1" applyAlignment="1" applyProtection="1">
      <protection locked="0"/>
    </xf>
    <xf numFmtId="0" fontId="34" fillId="0" borderId="98" xfId="2" applyFont="1" applyBorder="1" applyAlignment="1" applyProtection="1">
      <protection locked="0"/>
    </xf>
    <xf numFmtId="0" fontId="34" fillId="0" borderId="96" xfId="2" applyFont="1" applyBorder="1" applyProtection="1">
      <protection locked="0"/>
    </xf>
    <xf numFmtId="49" fontId="37" fillId="0" borderId="56" xfId="3" applyNumberFormat="1" applyFont="1" applyFill="1" applyBorder="1" applyAlignment="1" applyProtection="1">
      <alignment wrapText="1"/>
      <protection locked="0"/>
    </xf>
    <xf numFmtId="167" fontId="38" fillId="0" borderId="56" xfId="3" applyNumberFormat="1" applyFont="1" applyFill="1" applyBorder="1" applyAlignment="1" applyProtection="1">
      <alignment horizontal="center" vertical="center" wrapText="1"/>
      <protection locked="0"/>
    </xf>
    <xf numFmtId="0" fontId="57" fillId="0" borderId="88" xfId="2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36" fillId="13" borderId="59" xfId="2" applyFont="1" applyFill="1" applyBorder="1" applyAlignment="1">
      <alignment horizontal="center"/>
    </xf>
    <xf numFmtId="0" fontId="69" fillId="0" borderId="0" xfId="6" applyFont="1" applyAlignment="1">
      <alignment horizontal="left" vertical="top"/>
    </xf>
    <xf numFmtId="0" fontId="57" fillId="0" borderId="65" xfId="2" applyFont="1" applyBorder="1" applyAlignment="1" applyProtection="1">
      <alignment horizontal="center"/>
    </xf>
    <xf numFmtId="49" fontId="15" fillId="3" borderId="22" xfId="0" applyNumberFormat="1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14" fontId="15" fillId="9" borderId="6" xfId="0" applyNumberFormat="1" applyFont="1" applyFill="1" applyBorder="1" applyAlignment="1" applyProtection="1">
      <alignment horizontal="center" vertical="center" wrapText="1"/>
    </xf>
    <xf numFmtId="49" fontId="15" fillId="9" borderId="22" xfId="0" applyNumberFormat="1" applyFont="1" applyFill="1" applyBorder="1" applyAlignment="1" applyProtection="1">
      <alignment horizontal="center" vertical="center" wrapText="1"/>
    </xf>
    <xf numFmtId="0" fontId="15" fillId="9" borderId="22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64" fontId="15" fillId="3" borderId="24" xfId="0" applyNumberFormat="1" applyFont="1" applyFill="1" applyBorder="1" applyAlignment="1" applyProtection="1">
      <alignment vertical="center"/>
    </xf>
    <xf numFmtId="164" fontId="15" fillId="3" borderId="14" xfId="0" applyNumberFormat="1" applyFont="1" applyFill="1" applyBorder="1" applyAlignment="1" applyProtection="1">
      <alignment vertical="center"/>
    </xf>
    <xf numFmtId="164" fontId="34" fillId="0" borderId="57" xfId="2" applyNumberFormat="1" applyFont="1" applyBorder="1" applyAlignment="1" applyProtection="1">
      <alignment horizontal="center"/>
    </xf>
    <xf numFmtId="0" fontId="57" fillId="0" borderId="57" xfId="2" applyFont="1" applyBorder="1" applyAlignment="1" applyProtection="1">
      <alignment horizontal="center"/>
    </xf>
    <xf numFmtId="0" fontId="68" fillId="0" borderId="91" xfId="2" applyFont="1" applyBorder="1" applyAlignment="1" applyProtection="1"/>
    <xf numFmtId="0" fontId="68" fillId="0" borderId="78" xfId="2" applyFont="1" applyBorder="1" applyAlignment="1" applyProtection="1"/>
    <xf numFmtId="0" fontId="34" fillId="0" borderId="0" xfId="2" applyFont="1" applyAlignment="1" applyProtection="1"/>
    <xf numFmtId="0" fontId="34" fillId="0" borderId="0" xfId="2" applyFont="1" applyBorder="1" applyAlignment="1" applyProtection="1">
      <alignment horizontal="center"/>
    </xf>
    <xf numFmtId="0" fontId="34" fillId="13" borderId="57" xfId="2" applyFont="1" applyFill="1" applyBorder="1" applyAlignment="1" applyProtection="1">
      <alignment horizontal="center"/>
    </xf>
    <xf numFmtId="0" fontId="36" fillId="13" borderId="57" xfId="2" applyFont="1" applyFill="1" applyBorder="1" applyAlignment="1" applyProtection="1">
      <alignment horizontal="left"/>
    </xf>
    <xf numFmtId="49" fontId="36" fillId="15" borderId="0" xfId="2" applyNumberFormat="1" applyFont="1" applyFill="1" applyBorder="1" applyAlignment="1" applyProtection="1">
      <alignment horizontal="center"/>
    </xf>
    <xf numFmtId="0" fontId="34" fillId="13" borderId="60" xfId="2" applyFont="1" applyFill="1" applyBorder="1" applyAlignment="1" applyProtection="1"/>
    <xf numFmtId="0" fontId="34" fillId="13" borderId="59" xfId="2" applyFont="1" applyFill="1" applyBorder="1" applyAlignment="1" applyProtection="1"/>
    <xf numFmtId="0" fontId="36" fillId="0" borderId="0" xfId="2" applyFont="1" applyBorder="1" applyAlignment="1" applyProtection="1">
      <alignment horizontal="center"/>
    </xf>
    <xf numFmtId="165" fontId="36" fillId="13" borderId="57" xfId="2" applyNumberFormat="1" applyFont="1" applyFill="1" applyBorder="1" applyAlignment="1" applyProtection="1">
      <alignment horizontal="center"/>
    </xf>
    <xf numFmtId="169" fontId="34" fillId="0" borderId="0" xfId="2" applyNumberFormat="1" applyFont="1" applyAlignment="1" applyProtection="1"/>
    <xf numFmtId="0" fontId="34" fillId="0" borderId="0" xfId="2" applyFont="1" applyAlignment="1" applyProtection="1">
      <alignment horizontal="center"/>
    </xf>
    <xf numFmtId="0" fontId="34" fillId="0" borderId="0" xfId="2" applyProtection="1"/>
    <xf numFmtId="0" fontId="34" fillId="0" borderId="57" xfId="2" applyFont="1" applyBorder="1" applyAlignment="1" applyProtection="1">
      <alignment horizontal="center"/>
    </xf>
    <xf numFmtId="0" fontId="36" fillId="0" borderId="0" xfId="2" applyFont="1" applyBorder="1" applyAlignment="1" applyProtection="1">
      <alignment horizontal="left"/>
    </xf>
    <xf numFmtId="0" fontId="34" fillId="0" borderId="0" xfId="2" applyFont="1" applyBorder="1" applyAlignment="1" applyProtection="1"/>
    <xf numFmtId="0" fontId="14" fillId="0" borderId="0" xfId="2" applyFont="1" applyAlignment="1" applyProtection="1">
      <alignment horizontal="right"/>
    </xf>
    <xf numFmtId="0" fontId="34" fillId="0" borderId="0" xfId="2" applyFont="1" applyAlignment="1" applyProtection="1">
      <alignment horizontal="right"/>
    </xf>
    <xf numFmtId="0" fontId="34" fillId="0" borderId="0" xfId="2" applyFont="1" applyAlignment="1" applyProtection="1">
      <alignment horizontal="left"/>
    </xf>
    <xf numFmtId="0" fontId="34" fillId="0" borderId="0" xfId="2" applyAlignment="1" applyProtection="1"/>
    <xf numFmtId="0" fontId="34" fillId="0" borderId="81" xfId="2" applyFont="1" applyBorder="1" applyAlignment="1" applyProtection="1">
      <alignment horizontal="left"/>
    </xf>
    <xf numFmtId="0" fontId="34" fillId="0" borderId="0" xfId="2" applyFont="1" applyBorder="1" applyAlignment="1" applyProtection="1">
      <alignment horizontal="left"/>
    </xf>
    <xf numFmtId="0" fontId="34" fillId="13" borderId="67" xfId="2" applyFont="1" applyFill="1" applyBorder="1" applyAlignment="1" applyProtection="1"/>
    <xf numFmtId="0" fontId="34" fillId="13" borderId="68" xfId="2" applyFont="1" applyFill="1" applyBorder="1" applyAlignment="1" applyProtection="1"/>
    <xf numFmtId="0" fontId="57" fillId="13" borderId="67" xfId="2" applyFont="1" applyFill="1" applyBorder="1" applyAlignment="1" applyProtection="1">
      <alignment horizontal="left"/>
    </xf>
    <xf numFmtId="9" fontId="57" fillId="13" borderId="66" xfId="2" applyNumberFormat="1" applyFont="1" applyFill="1" applyBorder="1" applyAlignment="1" applyProtection="1">
      <alignment horizontal="center"/>
    </xf>
    <xf numFmtId="0" fontId="57" fillId="13" borderId="67" xfId="2" applyFont="1" applyFill="1" applyBorder="1" applyAlignment="1" applyProtection="1">
      <alignment horizontal="center"/>
    </xf>
    <xf numFmtId="9" fontId="57" fillId="13" borderId="66" xfId="2" applyNumberFormat="1" applyFont="1" applyFill="1" applyBorder="1" applyAlignment="1" applyProtection="1"/>
    <xf numFmtId="0" fontId="34" fillId="19" borderId="96" xfId="2" applyFont="1" applyFill="1" applyBorder="1" applyProtection="1"/>
    <xf numFmtId="0" fontId="34" fillId="21" borderId="96" xfId="2" applyFont="1" applyFill="1" applyBorder="1" applyProtection="1"/>
    <xf numFmtId="0" fontId="34" fillId="0" borderId="0" xfId="3" applyFont="1" applyProtection="1"/>
    <xf numFmtId="0" fontId="34" fillId="13" borderId="42" xfId="3" applyFont="1" applyFill="1" applyBorder="1" applyProtection="1"/>
    <xf numFmtId="0" fontId="0" fillId="13" borderId="42" xfId="3" applyFont="1" applyFill="1" applyBorder="1" applyAlignment="1" applyProtection="1">
      <alignment horizontal="center"/>
    </xf>
    <xf numFmtId="0" fontId="34" fillId="13" borderId="40" xfId="3" applyFont="1" applyFill="1" applyBorder="1" applyProtection="1"/>
    <xf numFmtId="0" fontId="34" fillId="0" borderId="41" xfId="3" applyFont="1" applyBorder="1" applyAlignment="1" applyProtection="1">
      <alignment horizontal="center"/>
    </xf>
    <xf numFmtId="0" fontId="34" fillId="0" borderId="49" xfId="3" applyFont="1" applyBorder="1" applyAlignment="1" applyProtection="1">
      <alignment horizontal="center"/>
    </xf>
    <xf numFmtId="0" fontId="34" fillId="0" borderId="50" xfId="3" applyFont="1" applyBorder="1" applyAlignment="1" applyProtection="1">
      <alignment horizontal="center"/>
    </xf>
    <xf numFmtId="169" fontId="34" fillId="0" borderId="0" xfId="3" applyNumberFormat="1" applyFont="1" applyAlignment="1" applyProtection="1">
      <alignment horizontal="left"/>
    </xf>
    <xf numFmtId="0" fontId="34" fillId="13" borderId="9" xfId="3" applyFont="1" applyFill="1" applyBorder="1" applyProtection="1"/>
    <xf numFmtId="0" fontId="34" fillId="0" borderId="51" xfId="3" applyFont="1" applyBorder="1" applyAlignment="1" applyProtection="1">
      <alignment horizontal="center"/>
    </xf>
    <xf numFmtId="0" fontId="34" fillId="0" borderId="0" xfId="3" applyFont="1" applyBorder="1" applyAlignment="1" applyProtection="1">
      <alignment horizontal="center"/>
    </xf>
    <xf numFmtId="0" fontId="34" fillId="0" borderId="8" xfId="3" applyFont="1" applyBorder="1" applyAlignment="1" applyProtection="1">
      <alignment horizontal="center"/>
    </xf>
    <xf numFmtId="0" fontId="34" fillId="13" borderId="52" xfId="3" applyFont="1" applyFill="1" applyBorder="1" applyProtection="1"/>
    <xf numFmtId="0" fontId="34" fillId="0" borderId="53" xfId="3" applyFont="1" applyBorder="1" applyAlignment="1" applyProtection="1">
      <alignment horizontal="center"/>
    </xf>
    <xf numFmtId="0" fontId="34" fillId="0" borderId="54" xfId="3" applyFont="1" applyBorder="1" applyAlignment="1" applyProtection="1">
      <alignment horizontal="center"/>
    </xf>
    <xf numFmtId="0" fontId="34" fillId="0" borderId="55" xfId="3" applyFont="1" applyBorder="1" applyAlignment="1" applyProtection="1">
      <alignment horizontal="center"/>
    </xf>
    <xf numFmtId="169" fontId="34" fillId="0" borderId="0" xfId="3" applyNumberFormat="1" applyFont="1" applyProtection="1"/>
    <xf numFmtId="0" fontId="34" fillId="13" borderId="56" xfId="3" applyFont="1" applyFill="1" applyBorder="1" applyProtection="1"/>
    <xf numFmtId="0" fontId="39" fillId="13" borderId="51" xfId="3" applyFont="1" applyFill="1" applyBorder="1" applyAlignment="1" applyProtection="1">
      <alignment horizontal="left" vertical="center"/>
    </xf>
    <xf numFmtId="0" fontId="39" fillId="13" borderId="51" xfId="3" applyFont="1" applyFill="1" applyBorder="1" applyAlignment="1" applyProtection="1">
      <alignment horizontal="left"/>
    </xf>
    <xf numFmtId="0" fontId="39" fillId="13" borderId="9" xfId="3" applyFont="1" applyFill="1" applyBorder="1" applyAlignment="1" applyProtection="1">
      <alignment horizontal="left"/>
    </xf>
    <xf numFmtId="0" fontId="39" fillId="13" borderId="9" xfId="3" applyFont="1" applyFill="1" applyBorder="1" applyAlignment="1" applyProtection="1">
      <alignment horizontal="left" vertical="center"/>
    </xf>
    <xf numFmtId="0" fontId="34" fillId="0" borderId="49" xfId="3" applyNumberFormat="1" applyFont="1" applyBorder="1" applyAlignment="1" applyProtection="1">
      <alignment horizontal="center"/>
    </xf>
    <xf numFmtId="0" fontId="34" fillId="0" borderId="0" xfId="3" applyNumberFormat="1" applyFont="1" applyBorder="1" applyAlignment="1" applyProtection="1">
      <alignment horizontal="center"/>
    </xf>
    <xf numFmtId="0" fontId="34" fillId="0" borderId="54" xfId="3" applyNumberFormat="1" applyFont="1" applyBorder="1" applyAlignment="1" applyProtection="1">
      <alignment horizontal="center"/>
    </xf>
    <xf numFmtId="0" fontId="40" fillId="0" borderId="0" xfId="3" applyFont="1" applyBorder="1" applyAlignment="1" applyProtection="1">
      <alignment vertical="center"/>
    </xf>
    <xf numFmtId="0" fontId="41" fillId="14" borderId="0" xfId="3" applyFont="1" applyFill="1" applyBorder="1" applyAlignment="1" applyProtection="1">
      <alignment horizontal="center" vertical="center"/>
    </xf>
    <xf numFmtId="0" fontId="42" fillId="13" borderId="0" xfId="3" applyFont="1" applyFill="1" applyBorder="1" applyAlignment="1" applyProtection="1">
      <alignment horizontal="center" vertical="center"/>
    </xf>
    <xf numFmtId="0" fontId="42" fillId="15" borderId="57" xfId="3" applyFont="1" applyFill="1" applyBorder="1" applyAlignment="1" applyProtection="1">
      <alignment horizontal="center" vertical="center"/>
    </xf>
    <xf numFmtId="0" fontId="37" fillId="14" borderId="57" xfId="3" applyFont="1" applyFill="1" applyBorder="1" applyAlignment="1" applyProtection="1">
      <alignment horizontal="center" vertical="center" wrapText="1"/>
    </xf>
    <xf numFmtId="1" fontId="42" fillId="13" borderId="57" xfId="3" applyNumberFormat="1" applyFont="1" applyFill="1" applyBorder="1" applyAlignment="1" applyProtection="1">
      <alignment horizontal="center" vertical="center" wrapText="1"/>
    </xf>
    <xf numFmtId="0" fontId="42" fillId="13" borderId="57" xfId="3" applyFont="1" applyFill="1" applyBorder="1" applyAlignment="1" applyProtection="1">
      <alignment horizontal="center" vertical="center" wrapText="1"/>
    </xf>
    <xf numFmtId="0" fontId="43" fillId="13" borderId="57" xfId="3" applyFont="1" applyFill="1" applyBorder="1" applyAlignment="1" applyProtection="1">
      <alignment vertical="center"/>
    </xf>
    <xf numFmtId="0" fontId="46" fillId="0" borderId="0" xfId="6" applyFont="1" applyBorder="1" applyAlignment="1" applyProtection="1">
      <protection locked="0"/>
    </xf>
    <xf numFmtId="0" fontId="46" fillId="0" borderId="0" xfId="6" applyFont="1" applyBorder="1" applyAlignment="1" applyProtection="1">
      <alignment horizontal="left"/>
      <protection locked="0"/>
    </xf>
    <xf numFmtId="0" fontId="46" fillId="0" borderId="0" xfId="6" applyFont="1" applyProtection="1">
      <protection locked="0"/>
    </xf>
    <xf numFmtId="0" fontId="46" fillId="0" borderId="0" xfId="6" applyFont="1" applyAlignment="1" applyProtection="1">
      <alignment horizontal="center"/>
      <protection locked="0"/>
    </xf>
    <xf numFmtId="0" fontId="44" fillId="0" borderId="0" xfId="6" applyFont="1" applyBorder="1" applyAlignment="1">
      <alignment horizontal="justify" vertical="center" wrapText="1"/>
    </xf>
    <xf numFmtId="174" fontId="36" fillId="0" borderId="59" xfId="2" applyNumberFormat="1" applyFont="1" applyBorder="1" applyAlignment="1" applyProtection="1">
      <alignment horizontal="center"/>
      <protection locked="0"/>
    </xf>
    <xf numFmtId="49" fontId="34" fillId="0" borderId="43" xfId="2" quotePrefix="1" applyNumberFormat="1" applyFont="1" applyFill="1" applyBorder="1" applyProtection="1">
      <protection locked="0"/>
    </xf>
    <xf numFmtId="0" fontId="65" fillId="0" borderId="96" xfId="0" applyFont="1" applyBorder="1" applyAlignment="1" applyProtection="1">
      <alignment horizontal="left" vertical="center" wrapText="1"/>
      <protection locked="0"/>
    </xf>
    <xf numFmtId="0" fontId="65" fillId="0" borderId="96" xfId="0" applyFont="1" applyBorder="1" applyAlignment="1" applyProtection="1">
      <alignment horizontal="center" vertical="center" wrapText="1"/>
      <protection locked="0"/>
    </xf>
    <xf numFmtId="0" fontId="67" fillId="0" borderId="96" xfId="0" applyFont="1" applyBorder="1" applyAlignment="1" applyProtection="1">
      <alignment horizontal="right" wrapText="1"/>
      <protection locked="0"/>
    </xf>
    <xf numFmtId="0" fontId="31" fillId="0" borderId="96" xfId="0" applyFont="1" applyBorder="1" applyAlignment="1" applyProtection="1">
      <alignment horizontal="right" wrapText="1"/>
      <protection locked="0"/>
    </xf>
    <xf numFmtId="0" fontId="31" fillId="0" borderId="96" xfId="0" applyFont="1" applyBorder="1" applyAlignment="1" applyProtection="1">
      <alignment horizontal="left" wrapText="1"/>
      <protection locked="0"/>
    </xf>
    <xf numFmtId="0" fontId="31" fillId="0" borderId="96" xfId="0" applyFont="1" applyBorder="1" applyAlignment="1" applyProtection="1">
      <alignment horizontal="center" wrapText="1"/>
      <protection locked="0"/>
    </xf>
    <xf numFmtId="0" fontId="34" fillId="0" borderId="56" xfId="2" quotePrefix="1" applyBorder="1" applyProtection="1">
      <protection locked="0"/>
    </xf>
    <xf numFmtId="0" fontId="67" fillId="0" borderId="96" xfId="0" applyFont="1" applyBorder="1" applyAlignment="1" applyProtection="1">
      <alignment horizontal="left" wrapText="1"/>
      <protection locked="0"/>
    </xf>
    <xf numFmtId="0" fontId="67" fillId="0" borderId="96" xfId="0" applyFont="1" applyBorder="1" applyAlignment="1" applyProtection="1">
      <alignment horizontal="center" wrapText="1"/>
      <protection locked="0"/>
    </xf>
    <xf numFmtId="0" fontId="67" fillId="0" borderId="96" xfId="0" applyFont="1" applyBorder="1" applyAlignment="1" applyProtection="1">
      <alignment horizontal="left" vertical="center" wrapText="1"/>
      <protection locked="0"/>
    </xf>
    <xf numFmtId="0" fontId="67" fillId="0" borderId="96" xfId="0" applyFont="1" applyBorder="1" applyAlignment="1" applyProtection="1">
      <alignment horizontal="center" vertical="center" wrapText="1"/>
      <protection locked="0"/>
    </xf>
    <xf numFmtId="0" fontId="67" fillId="0" borderId="96" xfId="0" applyFont="1" applyBorder="1" applyAlignment="1" applyProtection="1">
      <alignment horizontal="right" vertical="center" wrapText="1"/>
      <protection locked="0"/>
    </xf>
    <xf numFmtId="0" fontId="31" fillId="0" borderId="96" xfId="0" applyFont="1" applyBorder="1" applyAlignment="1" applyProtection="1">
      <alignment horizontal="left" vertical="center" wrapText="1"/>
      <protection locked="0"/>
    </xf>
    <xf numFmtId="0" fontId="65" fillId="0" borderId="96" xfId="0" applyFont="1" applyBorder="1" applyAlignment="1" applyProtection="1">
      <alignment horizontal="center" wrapText="1"/>
      <protection locked="0"/>
    </xf>
    <xf numFmtId="0" fontId="65" fillId="0" borderId="96" xfId="0" applyFont="1" applyBorder="1" applyAlignment="1" applyProtection="1">
      <alignment horizontal="right" wrapText="1"/>
      <protection locked="0"/>
    </xf>
    <xf numFmtId="0" fontId="65" fillId="0" borderId="96" xfId="0" applyFont="1" applyBorder="1" applyAlignment="1" applyProtection="1">
      <alignment horizontal="left" wrapText="1"/>
      <protection locked="0"/>
    </xf>
    <xf numFmtId="0" fontId="0" fillId="0" borderId="56" xfId="3" applyFont="1" applyBorder="1" applyAlignment="1" applyProtection="1">
      <alignment wrapText="1"/>
      <protection locked="0"/>
    </xf>
    <xf numFmtId="1" fontId="0" fillId="0" borderId="56" xfId="3" applyNumberFormat="1" applyFont="1" applyBorder="1" applyAlignment="1" applyProtection="1">
      <alignment horizontal="right" wrapText="1"/>
      <protection locked="0"/>
    </xf>
    <xf numFmtId="0" fontId="34" fillId="0" borderId="56" xfId="2" applyBorder="1" applyAlignment="1" applyProtection="1">
      <alignment vertical="center"/>
      <protection locked="0"/>
    </xf>
    <xf numFmtId="0" fontId="34" fillId="0" borderId="56" xfId="2" applyFont="1" applyBorder="1" applyAlignment="1" applyProtection="1">
      <alignment horizontal="left" vertical="center"/>
      <protection locked="0"/>
    </xf>
    <xf numFmtId="1" fontId="0" fillId="0" borderId="56" xfId="3" applyNumberFormat="1" applyFont="1" applyBorder="1" applyAlignment="1" applyProtection="1">
      <alignment horizontal="left" wrapText="1"/>
      <protection locked="0"/>
    </xf>
    <xf numFmtId="0" fontId="34" fillId="0" borderId="56" xfId="2" applyBorder="1" applyProtection="1">
      <protection locked="0"/>
    </xf>
    <xf numFmtId="0" fontId="34" fillId="0" borderId="56" xfId="2" applyFont="1" applyBorder="1" applyProtection="1">
      <protection locked="0"/>
    </xf>
    <xf numFmtId="1" fontId="0" fillId="0" borderId="56" xfId="3" applyNumberFormat="1" applyFont="1" applyBorder="1" applyAlignment="1" applyProtection="1">
      <alignment horizontal="center" wrapText="1"/>
      <protection locked="0"/>
    </xf>
    <xf numFmtId="0" fontId="0" fillId="0" borderId="42" xfId="3" applyFont="1" applyBorder="1" applyAlignment="1" applyProtection="1">
      <alignment wrapText="1"/>
      <protection locked="0"/>
    </xf>
    <xf numFmtId="0" fontId="34" fillId="0" borderId="42" xfId="2" applyBorder="1" applyProtection="1">
      <protection locked="0"/>
    </xf>
    <xf numFmtId="1" fontId="0" fillId="0" borderId="42" xfId="3" applyNumberFormat="1" applyFont="1" applyBorder="1" applyAlignment="1" applyProtection="1">
      <alignment horizontal="right" wrapText="1"/>
      <protection locked="0"/>
    </xf>
    <xf numFmtId="0" fontId="34" fillId="0" borderId="42" xfId="2" applyBorder="1" applyAlignment="1" applyProtection="1">
      <alignment vertical="center"/>
      <protection locked="0"/>
    </xf>
    <xf numFmtId="0" fontId="34" fillId="0" borderId="42" xfId="2" applyFont="1" applyBorder="1" applyAlignment="1" applyProtection="1">
      <alignment horizontal="left" vertical="center"/>
      <protection locked="0"/>
    </xf>
    <xf numFmtId="1" fontId="0" fillId="0" borderId="42" xfId="3" applyNumberFormat="1" applyFont="1" applyBorder="1" applyAlignment="1" applyProtection="1">
      <alignment horizontal="left" wrapText="1"/>
      <protection locked="0"/>
    </xf>
    <xf numFmtId="0" fontId="34" fillId="0" borderId="42" xfId="2" applyFont="1" applyBorder="1" applyProtection="1">
      <protection locked="0"/>
    </xf>
    <xf numFmtId="1" fontId="0" fillId="0" borderId="42" xfId="3" applyNumberFormat="1" applyFont="1" applyBorder="1" applyAlignment="1" applyProtection="1">
      <alignment horizontal="center" wrapText="1"/>
      <protection locked="0"/>
    </xf>
    <xf numFmtId="0" fontId="34" fillId="0" borderId="42" xfId="2" quotePrefix="1" applyBorder="1" applyProtection="1">
      <protection locked="0"/>
    </xf>
    <xf numFmtId="1" fontId="0" fillId="0" borderId="42" xfId="3" quotePrefix="1" applyNumberFormat="1" applyFont="1" applyBorder="1" applyAlignment="1" applyProtection="1">
      <alignment horizontal="center" wrapText="1"/>
      <protection locked="0"/>
    </xf>
    <xf numFmtId="0" fontId="0" fillId="0" borderId="44" xfId="3" applyFont="1" applyFill="1" applyBorder="1" applyAlignment="1" applyProtection="1">
      <alignment wrapText="1"/>
      <protection locked="0"/>
    </xf>
    <xf numFmtId="0" fontId="0" fillId="0" borderId="43" xfId="3" applyFont="1" applyFill="1" applyBorder="1" applyAlignment="1" applyProtection="1">
      <alignment wrapText="1"/>
      <protection locked="0"/>
    </xf>
    <xf numFmtId="0" fontId="34" fillId="0" borderId="43" xfId="2" applyBorder="1" applyAlignment="1" applyProtection="1">
      <alignment horizontal="center"/>
      <protection locked="0"/>
    </xf>
    <xf numFmtId="1" fontId="34" fillId="0" borderId="43" xfId="2" applyNumberFormat="1" applyFont="1" applyFill="1" applyBorder="1" applyAlignment="1" applyProtection="1">
      <protection locked="0"/>
    </xf>
    <xf numFmtId="1" fontId="34" fillId="0" borderId="43" xfId="2" applyNumberFormat="1" applyFont="1" applyFill="1" applyBorder="1" applyProtection="1">
      <protection locked="0"/>
    </xf>
    <xf numFmtId="0" fontId="34" fillId="0" borderId="43" xfId="2" applyFont="1" applyFill="1" applyBorder="1" applyAlignment="1" applyProtection="1">
      <alignment horizontal="left"/>
      <protection locked="0"/>
    </xf>
    <xf numFmtId="0" fontId="34" fillId="0" borderId="43" xfId="2" applyBorder="1" applyProtection="1">
      <protection locked="0"/>
    </xf>
    <xf numFmtId="0" fontId="34" fillId="0" borderId="43" xfId="2" applyFont="1" applyFill="1" applyBorder="1" applyProtection="1">
      <protection locked="0"/>
    </xf>
    <xf numFmtId="0" fontId="34" fillId="0" borderId="45" xfId="2" applyFont="1" applyFill="1" applyBorder="1" applyAlignment="1" applyProtection="1">
      <alignment horizontal="center"/>
      <protection locked="0"/>
    </xf>
    <xf numFmtId="0" fontId="34" fillId="0" borderId="45" xfId="2" applyBorder="1" applyAlignment="1" applyProtection="1">
      <alignment horizontal="center"/>
      <protection locked="0"/>
    </xf>
    <xf numFmtId="49" fontId="34" fillId="0" borderId="46" xfId="2" quotePrefix="1" applyNumberFormat="1" applyFont="1" applyFill="1" applyBorder="1" applyProtection="1">
      <protection locked="0"/>
    </xf>
    <xf numFmtId="0" fontId="0" fillId="0" borderId="47" xfId="3" applyFont="1" applyFill="1" applyBorder="1" applyAlignment="1" applyProtection="1">
      <alignment wrapText="1"/>
      <protection locked="0"/>
    </xf>
    <xf numFmtId="0" fontId="34" fillId="0" borderId="46" xfId="2" applyBorder="1" applyProtection="1">
      <protection locked="0"/>
    </xf>
    <xf numFmtId="0" fontId="34" fillId="0" borderId="46" xfId="2" applyBorder="1" applyAlignment="1" applyProtection="1">
      <alignment horizontal="center"/>
      <protection locked="0"/>
    </xf>
    <xf numFmtId="1" fontId="34" fillId="0" borderId="46" xfId="2" applyNumberFormat="1" applyFont="1" applyFill="1" applyBorder="1" applyAlignment="1" applyProtection="1">
      <protection locked="0"/>
    </xf>
    <xf numFmtId="0" fontId="34" fillId="0" borderId="46" xfId="2" applyFont="1" applyFill="1" applyBorder="1" applyAlignment="1" applyProtection="1">
      <alignment horizontal="left"/>
      <protection locked="0"/>
    </xf>
    <xf numFmtId="0" fontId="0" fillId="0" borderId="46" xfId="3" applyFont="1" applyFill="1" applyBorder="1" applyAlignment="1" applyProtection="1">
      <alignment wrapText="1"/>
      <protection locked="0"/>
    </xf>
    <xf numFmtId="0" fontId="34" fillId="0" borderId="46" xfId="2" applyFont="1" applyFill="1" applyBorder="1" applyProtection="1">
      <protection locked="0"/>
    </xf>
    <xf numFmtId="0" fontId="34" fillId="0" borderId="48" xfId="2" applyBorder="1" applyAlignment="1" applyProtection="1">
      <alignment horizontal="center"/>
      <protection locked="0"/>
    </xf>
    <xf numFmtId="49" fontId="34" fillId="0" borderId="42" xfId="2" quotePrefix="1" applyNumberFormat="1" applyFont="1" applyFill="1" applyBorder="1" applyProtection="1">
      <protection locked="0"/>
    </xf>
    <xf numFmtId="0" fontId="0" fillId="0" borderId="42" xfId="3" applyFont="1" applyFill="1" applyBorder="1" applyAlignment="1" applyProtection="1">
      <alignment wrapText="1"/>
      <protection locked="0"/>
    </xf>
    <xf numFmtId="0" fontId="34" fillId="0" borderId="42" xfId="2" applyBorder="1" applyAlignment="1" applyProtection="1">
      <alignment horizontal="center"/>
      <protection locked="0"/>
    </xf>
    <xf numFmtId="1" fontId="34" fillId="0" borderId="42" xfId="2" applyNumberFormat="1" applyFont="1" applyFill="1" applyBorder="1" applyAlignment="1" applyProtection="1">
      <protection locked="0"/>
    </xf>
    <xf numFmtId="0" fontId="34" fillId="0" borderId="42" xfId="2" applyFont="1" applyFill="1" applyBorder="1" applyAlignment="1" applyProtection="1">
      <alignment horizontal="left"/>
      <protection locked="0"/>
    </xf>
    <xf numFmtId="0" fontId="34" fillId="0" borderId="42" xfId="2" applyFont="1" applyFill="1" applyBorder="1" applyProtection="1">
      <protection locked="0"/>
    </xf>
    <xf numFmtId="49" fontId="34" fillId="0" borderId="0" xfId="2" quotePrefix="1" applyNumberFormat="1" applyFont="1" applyFill="1" applyBorder="1" applyProtection="1">
      <protection locked="0"/>
    </xf>
    <xf numFmtId="0" fontId="34" fillId="0" borderId="42" xfId="2" applyFill="1" applyBorder="1" applyProtection="1">
      <protection locked="0"/>
    </xf>
    <xf numFmtId="1" fontId="34" fillId="0" borderId="42" xfId="2" applyNumberFormat="1" applyFont="1" applyFill="1" applyBorder="1" applyProtection="1">
      <protection locked="0"/>
    </xf>
    <xf numFmtId="0" fontId="34" fillId="0" borderId="42" xfId="2" applyFill="1" applyBorder="1" applyAlignment="1" applyProtection="1">
      <alignment horizontal="center"/>
      <protection locked="0"/>
    </xf>
    <xf numFmtId="0" fontId="34" fillId="0" borderId="42" xfId="2" quotePrefix="1" applyBorder="1" applyAlignment="1" applyProtection="1">
      <alignment horizontal="center"/>
      <protection locked="0"/>
    </xf>
    <xf numFmtId="0" fontId="34" fillId="0" borderId="42" xfId="2" quotePrefix="1" applyFill="1" applyBorder="1" applyAlignment="1" applyProtection="1">
      <alignment horizontal="center"/>
      <protection locked="0"/>
    </xf>
    <xf numFmtId="0" fontId="34" fillId="0" borderId="0" xfId="2" quotePrefix="1" applyProtection="1">
      <protection locked="0"/>
    </xf>
    <xf numFmtId="0" fontId="34" fillId="0" borderId="42" xfId="2" quotePrefix="1" applyFill="1" applyBorder="1" applyProtection="1">
      <protection locked="0"/>
    </xf>
    <xf numFmtId="0" fontId="66" fillId="0" borderId="100" xfId="0" quotePrefix="1" applyFont="1" applyBorder="1" applyAlignment="1" applyProtection="1">
      <protection locked="0"/>
    </xf>
    <xf numFmtId="0" fontId="66" fillId="0" borderId="100" xfId="0" applyFont="1" applyBorder="1" applyAlignment="1" applyProtection="1">
      <protection locked="0"/>
    </xf>
    <xf numFmtId="0" fontId="34" fillId="0" borderId="0" xfId="2" applyProtection="1">
      <protection locked="0"/>
    </xf>
    <xf numFmtId="8" fontId="34" fillId="0" borderId="42" xfId="2" applyNumberFormat="1" applyBorder="1" applyProtection="1">
      <protection locked="0"/>
    </xf>
    <xf numFmtId="0" fontId="34" fillId="0" borderId="0" xfId="2" applyAlignment="1" applyProtection="1">
      <alignment horizontal="center"/>
      <protection locked="0"/>
    </xf>
    <xf numFmtId="0" fontId="71" fillId="0" borderId="103" xfId="2" applyFont="1" applyBorder="1" applyAlignment="1">
      <alignment horizontal="center"/>
    </xf>
    <xf numFmtId="0" fontId="71" fillId="0" borderId="103" xfId="2" applyFont="1" applyBorder="1" applyAlignment="1"/>
    <xf numFmtId="0" fontId="72" fillId="22" borderId="100" xfId="2" applyFont="1" applyFill="1" applyBorder="1" applyAlignment="1">
      <alignment horizontal="center"/>
    </xf>
    <xf numFmtId="172" fontId="72" fillId="22" borderId="104" xfId="2" applyNumberFormat="1" applyFont="1" applyFill="1" applyBorder="1" applyAlignment="1">
      <alignment horizontal="center"/>
    </xf>
    <xf numFmtId="172" fontId="72" fillId="22" borderId="105" xfId="2" applyNumberFormat="1" applyFont="1" applyFill="1" applyBorder="1" applyAlignment="1">
      <alignment horizontal="center"/>
    </xf>
    <xf numFmtId="0" fontId="72" fillId="22" borderId="104" xfId="2" applyFont="1" applyFill="1" applyBorder="1" applyAlignment="1">
      <alignment horizontal="center"/>
    </xf>
    <xf numFmtId="0" fontId="72" fillId="22" borderId="105" xfId="2" applyFont="1" applyFill="1" applyBorder="1" applyAlignment="1">
      <alignment horizontal="center"/>
    </xf>
    <xf numFmtId="0" fontId="72" fillId="22" borderId="106" xfId="2" applyFont="1" applyFill="1" applyBorder="1" applyAlignment="1">
      <alignment horizontal="center"/>
    </xf>
    <xf numFmtId="0" fontId="72" fillId="22" borderId="107" xfId="2" applyFont="1" applyFill="1" applyBorder="1" applyAlignment="1">
      <alignment horizontal="center"/>
    </xf>
    <xf numFmtId="170" fontId="72" fillId="22" borderId="103" xfId="2" applyNumberFormat="1" applyFont="1" applyFill="1" applyBorder="1" applyAlignment="1">
      <alignment horizontal="center"/>
    </xf>
    <xf numFmtId="0" fontId="72" fillId="0" borderId="100" xfId="2" applyFont="1" applyBorder="1" applyAlignment="1">
      <alignment horizontal="center"/>
    </xf>
    <xf numFmtId="0" fontId="72" fillId="22" borderId="103" xfId="2" applyFont="1" applyFill="1" applyBorder="1" applyAlignment="1">
      <alignment horizontal="center"/>
    </xf>
    <xf numFmtId="0" fontId="72" fillId="22" borderId="106" xfId="2" applyFont="1" applyFill="1" applyBorder="1" applyAlignment="1"/>
    <xf numFmtId="0" fontId="72" fillId="22" borderId="103" xfId="2" applyFont="1" applyFill="1" applyBorder="1" applyAlignment="1"/>
    <xf numFmtId="0" fontId="72" fillId="22" borderId="108" xfId="2" applyFont="1" applyFill="1" applyBorder="1" applyAlignment="1">
      <alignment horizontal="center"/>
    </xf>
    <xf numFmtId="0" fontId="72" fillId="22" borderId="109" xfId="2" applyFont="1" applyFill="1" applyBorder="1" applyAlignment="1">
      <alignment horizontal="center"/>
    </xf>
    <xf numFmtId="170" fontId="72" fillId="22" borderId="109" xfId="2" applyNumberFormat="1" applyFont="1" applyFill="1" applyBorder="1" applyAlignment="1">
      <alignment horizontal="center"/>
    </xf>
    <xf numFmtId="0" fontId="72" fillId="23" borderId="100" xfId="2" applyFont="1" applyFill="1" applyBorder="1" applyAlignment="1">
      <alignment horizontal="center"/>
    </xf>
    <xf numFmtId="0" fontId="72" fillId="24" borderId="100" xfId="2" applyFont="1" applyFill="1" applyBorder="1" applyAlignment="1">
      <alignment horizontal="center"/>
    </xf>
    <xf numFmtId="0" fontId="71" fillId="0" borderId="104" xfId="2" applyFont="1" applyBorder="1" applyAlignment="1">
      <alignment horizontal="center"/>
    </xf>
    <xf numFmtId="0" fontId="71" fillId="0" borderId="106" xfId="2" applyFont="1" applyBorder="1" applyAlignment="1"/>
    <xf numFmtId="0" fontId="71" fillId="0" borderId="106" xfId="2" applyFont="1" applyBorder="1" applyAlignment="1">
      <alignment horizontal="center"/>
    </xf>
    <xf numFmtId="0" fontId="71" fillId="0" borderId="104" xfId="2" applyFont="1" applyBorder="1" applyAlignment="1"/>
    <xf numFmtId="49" fontId="34" fillId="0" borderId="0" xfId="2" applyNumberFormat="1" applyProtection="1">
      <protection locked="0"/>
    </xf>
    <xf numFmtId="0" fontId="34" fillId="0" borderId="96" xfId="2" applyBorder="1" applyProtection="1">
      <protection locked="0"/>
    </xf>
    <xf numFmtId="0" fontId="34" fillId="0" borderId="96" xfId="2" applyBorder="1" applyAlignment="1" applyProtection="1">
      <alignment horizontal="center"/>
      <protection locked="0"/>
    </xf>
    <xf numFmtId="0" fontId="34" fillId="0" borderId="96" xfId="2" quotePrefix="1" applyFill="1" applyBorder="1" applyProtection="1"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0" fontId="73" fillId="0" borderId="100" xfId="8" applyFont="1" applyFill="1" applyBorder="1" applyAlignment="1" applyProtection="1">
      <alignment horizontal="left" vertical="center" wrapText="1"/>
      <protection locked="0"/>
    </xf>
    <xf numFmtId="49" fontId="73" fillId="0" borderId="100" xfId="8" applyNumberFormat="1" applyFont="1" applyFill="1" applyBorder="1" applyAlignment="1" applyProtection="1">
      <alignment horizontal="center" vertical="center" wrapText="1"/>
      <protection locked="0"/>
    </xf>
    <xf numFmtId="1" fontId="74" fillId="0" borderId="100" xfId="0" applyNumberFormat="1" applyFont="1" applyBorder="1" applyAlignment="1" applyProtection="1">
      <alignment horizontal="left" vertical="center"/>
      <protection locked="0"/>
    </xf>
    <xf numFmtId="0" fontId="74" fillId="0" borderId="100" xfId="0" applyFont="1" applyBorder="1" applyAlignment="1" applyProtection="1">
      <alignment horizontal="center" vertical="center"/>
      <protection locked="0"/>
    </xf>
    <xf numFmtId="0" fontId="74" fillId="0" borderId="100" xfId="0" applyFont="1" applyBorder="1" applyAlignment="1" applyProtection="1">
      <alignment horizontal="left" vertical="center"/>
      <protection locked="0"/>
    </xf>
    <xf numFmtId="0" fontId="31" fillId="0" borderId="100" xfId="0" applyFont="1" applyBorder="1" applyAlignment="1" applyProtection="1">
      <alignment horizontal="center" vertical="center"/>
      <protection locked="0"/>
    </xf>
    <xf numFmtId="49" fontId="31" fillId="0" borderId="100" xfId="0" applyNumberFormat="1" applyFont="1" applyBorder="1" applyAlignment="1" applyProtection="1">
      <alignment horizontal="center" vertical="center"/>
      <protection locked="0"/>
    </xf>
    <xf numFmtId="0" fontId="73" fillId="0" borderId="100" xfId="8" applyFont="1" applyFill="1" applyBorder="1" applyAlignment="1" applyProtection="1">
      <alignment horizontal="center" vertical="center" wrapText="1"/>
      <protection locked="0"/>
    </xf>
    <xf numFmtId="1" fontId="73" fillId="0" borderId="100" xfId="8" applyNumberFormat="1" applyFont="1" applyFill="1" applyBorder="1" applyAlignment="1" applyProtection="1">
      <alignment horizontal="left" vertical="center" wrapText="1"/>
      <protection locked="0"/>
    </xf>
    <xf numFmtId="0" fontId="31" fillId="0" borderId="100" xfId="0" applyFont="1" applyBorder="1" applyAlignment="1" applyProtection="1">
      <alignment horizontal="left" vertical="center"/>
      <protection locked="0"/>
    </xf>
    <xf numFmtId="1" fontId="73" fillId="0" borderId="100" xfId="8" applyNumberFormat="1" applyFont="1" applyFill="1" applyBorder="1" applyAlignment="1" applyProtection="1">
      <alignment horizontal="center" vertical="center" wrapText="1"/>
      <protection locked="0"/>
    </xf>
    <xf numFmtId="0" fontId="75" fillId="0" borderId="100" xfId="9" applyFill="1" applyBorder="1" applyAlignment="1" applyProtection="1">
      <alignment horizontal="left" vertical="center"/>
      <protection locked="0"/>
    </xf>
    <xf numFmtId="0" fontId="75" fillId="0" borderId="110" xfId="9" applyFill="1" applyBorder="1" applyAlignment="1" applyProtection="1">
      <alignment horizontal="left" vertical="center"/>
      <protection locked="0"/>
    </xf>
    <xf numFmtId="0" fontId="75" fillId="0" borderId="107" xfId="9" applyFill="1" applyBorder="1" applyAlignment="1" applyProtection="1">
      <alignment horizontal="left" vertical="center"/>
      <protection locked="0"/>
    </xf>
    <xf numFmtId="49" fontId="14" fillId="0" borderId="0" xfId="6" applyNumberFormat="1"/>
    <xf numFmtId="0" fontId="27" fillId="0" borderId="0" xfId="1" applyFont="1" applyFill="1" applyBorder="1" applyAlignment="1" applyProtection="1">
      <alignment horizontal="center"/>
    </xf>
    <xf numFmtId="0" fontId="70" fillId="0" borderId="0" xfId="6" applyFont="1" applyBorder="1" applyAlignment="1">
      <alignment horizontal="center" vertical="center" wrapText="1"/>
    </xf>
    <xf numFmtId="0" fontId="47" fillId="0" borderId="0" xfId="6" applyFont="1" applyAlignment="1">
      <alignment horizontal="center" vertical="center"/>
    </xf>
    <xf numFmtId="0" fontId="47" fillId="0" borderId="0" xfId="6" applyFont="1" applyAlignment="1" applyProtection="1">
      <alignment horizontal="center"/>
      <protection locked="0"/>
    </xf>
    <xf numFmtId="0" fontId="47" fillId="0" borderId="0" xfId="6" applyFont="1" applyAlignment="1" applyProtection="1">
      <alignment horizontal="left"/>
      <protection locked="0"/>
    </xf>
    <xf numFmtId="0" fontId="46" fillId="0" borderId="0" xfId="6" applyFont="1" applyAlignment="1"/>
    <xf numFmtId="0" fontId="46" fillId="0" borderId="0" xfId="6" applyFont="1" applyBorder="1" applyAlignment="1">
      <alignment horizontal="left" vertical="center" wrapText="1"/>
    </xf>
    <xf numFmtId="0" fontId="48" fillId="0" borderId="0" xfId="6" applyFont="1" applyAlignment="1" applyProtection="1">
      <alignment horizontal="center"/>
      <protection locked="0"/>
    </xf>
    <xf numFmtId="0" fontId="46" fillId="0" borderId="0" xfId="6" applyFont="1" applyBorder="1" applyAlignment="1"/>
    <xf numFmtId="0" fontId="46" fillId="0" borderId="0" xfId="6" applyFont="1" applyAlignment="1">
      <alignment horizontal="left"/>
    </xf>
    <xf numFmtId="0" fontId="46" fillId="7" borderId="0" xfId="6" applyFont="1" applyFill="1" applyAlignment="1"/>
    <xf numFmtId="0" fontId="47" fillId="0" borderId="0" xfId="6" applyFont="1" applyBorder="1" applyAlignment="1">
      <alignment horizontal="left" wrapText="1"/>
    </xf>
    <xf numFmtId="0" fontId="46" fillId="0" borderId="0" xfId="6" applyFont="1" applyAlignment="1" applyProtection="1">
      <alignment horizontal="left" vertical="center" wrapText="1"/>
      <protection locked="0"/>
    </xf>
    <xf numFmtId="0" fontId="46" fillId="0" borderId="0" xfId="6" applyFont="1" applyBorder="1" applyAlignment="1">
      <alignment horizontal="left"/>
    </xf>
    <xf numFmtId="0" fontId="47" fillId="0" borderId="0" xfId="6" applyFont="1" applyAlignment="1">
      <alignment horizontal="left"/>
    </xf>
    <xf numFmtId="0" fontId="46" fillId="0" borderId="0" xfId="6" applyFont="1" applyBorder="1" applyAlignment="1">
      <alignment wrapText="1"/>
    </xf>
    <xf numFmtId="0" fontId="46" fillId="0" borderId="0" xfId="6" applyFont="1" applyAlignment="1" applyProtection="1">
      <protection locked="0"/>
    </xf>
    <xf numFmtId="0" fontId="46" fillId="0" borderId="0" xfId="6" applyFont="1" applyBorder="1" applyAlignment="1">
      <alignment horizontal="left" vertical="top" wrapText="1"/>
    </xf>
    <xf numFmtId="49" fontId="46" fillId="0" borderId="0" xfId="6" applyNumberFormat="1" applyFont="1" applyAlignment="1">
      <alignment horizontal="center"/>
    </xf>
    <xf numFmtId="0" fontId="46" fillId="0" borderId="0" xfId="6" applyNumberFormat="1" applyFont="1" applyAlignment="1">
      <alignment horizontal="center"/>
    </xf>
    <xf numFmtId="0" fontId="46" fillId="0" borderId="0" xfId="6" applyNumberFormat="1" applyFont="1" applyAlignment="1">
      <alignment horizontal="center" wrapText="1"/>
    </xf>
    <xf numFmtId="0" fontId="47" fillId="0" borderId="0" xfId="6" applyFont="1" applyBorder="1" applyAlignment="1"/>
    <xf numFmtId="0" fontId="10" fillId="0" borderId="0" xfId="6" applyFont="1" applyBorder="1" applyAlignment="1">
      <alignment horizontal="center" vertical="center"/>
    </xf>
    <xf numFmtId="0" fontId="46" fillId="0" borderId="0" xfId="6" applyFont="1" applyAlignment="1">
      <alignment horizontal="center"/>
    </xf>
    <xf numFmtId="0" fontId="44" fillId="0" borderId="0" xfId="6" applyFont="1" applyBorder="1" applyAlignment="1">
      <alignment horizontal="justify" vertical="center" wrapText="1"/>
    </xf>
    <xf numFmtId="0" fontId="46" fillId="0" borderId="0" xfId="6" applyFont="1" applyBorder="1" applyAlignment="1">
      <alignment vertical="top"/>
    </xf>
    <xf numFmtId="0" fontId="47" fillId="0" borderId="0" xfId="6" applyFont="1" applyBorder="1" applyAlignment="1">
      <alignment vertical="top"/>
    </xf>
    <xf numFmtId="0" fontId="14" fillId="0" borderId="0" xfId="6" applyFont="1" applyBorder="1" applyAlignment="1">
      <alignment horizontal="left" vertical="center"/>
    </xf>
    <xf numFmtId="0" fontId="48" fillId="0" borderId="0" xfId="6" applyFont="1" applyAlignment="1">
      <alignment horizont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0" fillId="10" borderId="6" xfId="0" applyFont="1" applyFill="1" applyBorder="1" applyAlignment="1" applyProtection="1">
      <alignment horizontal="center" vertical="center" wrapText="1"/>
    </xf>
    <xf numFmtId="0" fontId="10" fillId="10" borderId="9" xfId="0" applyFont="1" applyFill="1" applyBorder="1" applyAlignment="1" applyProtection="1">
      <alignment horizontal="center" vertical="center" wrapText="1"/>
    </xf>
    <xf numFmtId="0" fontId="10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2" fillId="3" borderId="22" xfId="0" applyFont="1" applyFill="1" applyBorder="1" applyAlignment="1" applyProtection="1">
      <alignment horizontal="center" vertical="center" wrapText="1"/>
    </xf>
    <xf numFmtId="0" fontId="26" fillId="5" borderId="22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left" vertical="center" wrapText="1"/>
    </xf>
    <xf numFmtId="0" fontId="15" fillId="3" borderId="20" xfId="0" applyFont="1" applyFill="1" applyBorder="1" applyAlignment="1" applyProtection="1">
      <alignment horizontal="left" vertical="center" wrapText="1"/>
    </xf>
    <xf numFmtId="0" fontId="15" fillId="3" borderId="2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left" vertical="center"/>
    </xf>
    <xf numFmtId="0" fontId="1" fillId="0" borderId="36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34" fillId="0" borderId="97" xfId="2" applyFont="1" applyBorder="1" applyAlignment="1" applyProtection="1">
      <alignment horizontal="center"/>
      <protection locked="0"/>
    </xf>
    <xf numFmtId="0" fontId="34" fillId="0" borderId="98" xfId="2" applyFont="1" applyBorder="1" applyAlignment="1" applyProtection="1">
      <alignment horizontal="center"/>
      <protection locked="0"/>
    </xf>
    <xf numFmtId="0" fontId="34" fillId="19" borderId="96" xfId="2" applyFont="1" applyFill="1" applyBorder="1" applyAlignment="1" applyProtection="1">
      <alignment horizontal="center"/>
    </xf>
    <xf numFmtId="0" fontId="34" fillId="18" borderId="99" xfId="2" applyFont="1" applyFill="1" applyBorder="1" applyAlignment="1" applyProtection="1">
      <alignment horizontal="center"/>
    </xf>
    <xf numFmtId="0" fontId="34" fillId="18" borderId="98" xfId="2" applyFont="1" applyFill="1" applyBorder="1" applyAlignment="1" applyProtection="1">
      <alignment horizontal="center"/>
    </xf>
    <xf numFmtId="0" fontId="34" fillId="18" borderId="97" xfId="2" applyFont="1" applyFill="1" applyBorder="1" applyAlignment="1" applyProtection="1">
      <alignment horizontal="center"/>
    </xf>
    <xf numFmtId="0" fontId="34" fillId="8" borderId="96" xfId="2" applyFont="1" applyFill="1" applyBorder="1" applyAlignment="1" applyProtection="1">
      <alignment horizontal="center"/>
    </xf>
    <xf numFmtId="0" fontId="34" fillId="20" borderId="96" xfId="2" applyFont="1" applyFill="1" applyBorder="1" applyAlignment="1" applyProtection="1">
      <alignment horizontal="center"/>
    </xf>
    <xf numFmtId="0" fontId="57" fillId="0" borderId="89" xfId="2" applyFont="1" applyBorder="1" applyAlignment="1" applyProtection="1">
      <alignment horizontal="center" vertical="center"/>
      <protection locked="0"/>
    </xf>
    <xf numFmtId="0" fontId="57" fillId="0" borderId="102" xfId="2" applyFont="1" applyBorder="1" applyAlignment="1" applyProtection="1">
      <alignment horizontal="center" vertical="center"/>
      <protection locked="0"/>
    </xf>
    <xf numFmtId="0" fontId="34" fillId="13" borderId="61" xfId="2" applyFont="1" applyFill="1" applyBorder="1" applyAlignment="1" applyProtection="1">
      <alignment horizontal="left" vertical="center"/>
    </xf>
    <xf numFmtId="0" fontId="34" fillId="13" borderId="60" xfId="2" applyFont="1" applyFill="1" applyBorder="1" applyAlignment="1" applyProtection="1">
      <alignment horizontal="left" vertical="center"/>
    </xf>
    <xf numFmtId="0" fontId="34" fillId="13" borderId="59" xfId="2" applyFont="1" applyFill="1" applyBorder="1" applyAlignment="1" applyProtection="1">
      <alignment horizontal="left" vertical="center"/>
    </xf>
    <xf numFmtId="0" fontId="34" fillId="0" borderId="81" xfId="2" applyFont="1" applyBorder="1" applyAlignment="1" applyProtection="1">
      <alignment horizontal="center"/>
      <protection locked="0"/>
    </xf>
    <xf numFmtId="0" fontId="63" fillId="0" borderId="82" xfId="2" applyFont="1" applyBorder="1" applyAlignment="1" applyProtection="1">
      <alignment horizontal="center" vertical="center"/>
      <protection locked="0"/>
    </xf>
    <xf numFmtId="0" fontId="57" fillId="0" borderId="87" xfId="2" applyFont="1" applyBorder="1" applyAlignment="1" applyProtection="1">
      <alignment horizontal="center" vertical="center"/>
      <protection locked="0"/>
    </xf>
    <xf numFmtId="0" fontId="57" fillId="0" borderId="84" xfId="2" applyFont="1" applyBorder="1" applyAlignment="1" applyProtection="1">
      <alignment horizontal="center" vertical="center"/>
      <protection locked="0"/>
    </xf>
    <xf numFmtId="0" fontId="77" fillId="25" borderId="1" xfId="2" applyFont="1" applyFill="1" applyBorder="1" applyAlignment="1">
      <alignment horizontal="center"/>
    </xf>
    <xf numFmtId="0" fontId="77" fillId="25" borderId="15" xfId="2" applyFont="1" applyFill="1" applyBorder="1" applyAlignment="1">
      <alignment horizontal="center"/>
    </xf>
    <xf numFmtId="0" fontId="76" fillId="25" borderId="15" xfId="2" applyFont="1" applyFill="1" applyBorder="1" applyAlignment="1"/>
    <xf numFmtId="0" fontId="76" fillId="25" borderId="2" xfId="2" applyFont="1" applyFill="1" applyBorder="1" applyAlignment="1"/>
    <xf numFmtId="0" fontId="34" fillId="8" borderId="96" xfId="2" applyFont="1" applyFill="1" applyBorder="1" applyAlignment="1">
      <alignment horizontal="center"/>
    </xf>
    <xf numFmtId="0" fontId="34" fillId="20" borderId="96" xfId="2" applyFont="1" applyFill="1" applyBorder="1" applyAlignment="1">
      <alignment horizontal="center"/>
    </xf>
    <xf numFmtId="0" fontId="57" fillId="0" borderId="58" xfId="2" applyFont="1" applyBorder="1" applyAlignment="1" applyProtection="1">
      <alignment horizontal="center" vertical="center"/>
      <protection locked="0"/>
    </xf>
    <xf numFmtId="0" fontId="57" fillId="0" borderId="73" xfId="2" applyFont="1" applyBorder="1" applyAlignment="1" applyProtection="1">
      <alignment horizontal="center" vertical="center"/>
      <protection locked="0"/>
    </xf>
    <xf numFmtId="0" fontId="57" fillId="0" borderId="101" xfId="2" applyFont="1" applyBorder="1" applyAlignment="1" applyProtection="1">
      <alignment horizontal="center" vertical="center"/>
      <protection locked="0"/>
    </xf>
    <xf numFmtId="0" fontId="57" fillId="0" borderId="34" xfId="2" applyFont="1" applyBorder="1" applyAlignment="1" applyProtection="1">
      <alignment horizontal="center" vertical="center"/>
      <protection locked="0"/>
    </xf>
    <xf numFmtId="0" fontId="36" fillId="13" borderId="59" xfId="2" applyFont="1" applyFill="1" applyBorder="1" applyAlignment="1">
      <alignment horizontal="center"/>
    </xf>
    <xf numFmtId="0" fontId="34" fillId="0" borderId="91" xfId="2" applyFont="1" applyBorder="1" applyAlignment="1">
      <alignment horizontal="left"/>
    </xf>
    <xf numFmtId="0" fontId="36" fillId="13" borderId="57" xfId="2" applyFont="1" applyFill="1" applyBorder="1" applyAlignment="1">
      <alignment horizontal="center"/>
    </xf>
    <xf numFmtId="0" fontId="54" fillId="0" borderId="57" xfId="2" applyFont="1" applyBorder="1" applyAlignment="1">
      <alignment vertical="top" wrapText="1"/>
    </xf>
    <xf numFmtId="0" fontId="60" fillId="0" borderId="57" xfId="2" applyFont="1" applyBorder="1" applyAlignment="1" applyProtection="1">
      <alignment horizontal="center" vertical="center" wrapText="1"/>
    </xf>
    <xf numFmtId="0" fontId="59" fillId="0" borderId="57" xfId="2" applyFont="1" applyBorder="1" applyAlignment="1">
      <alignment horizontal="left" vertical="center" wrapText="1"/>
    </xf>
    <xf numFmtId="0" fontId="36" fillId="0" borderId="59" xfId="2" applyFont="1" applyBorder="1" applyAlignment="1" applyProtection="1">
      <alignment horizontal="center"/>
    </xf>
    <xf numFmtId="49" fontId="36" fillId="0" borderId="59" xfId="2" quotePrefix="1" applyNumberFormat="1" applyFont="1" applyBorder="1" applyAlignment="1" applyProtection="1">
      <alignment horizontal="center" vertical="center"/>
      <protection locked="0"/>
    </xf>
    <xf numFmtId="49" fontId="36" fillId="0" borderId="59" xfId="2" applyNumberFormat="1" applyFont="1" applyBorder="1" applyAlignment="1" applyProtection="1">
      <alignment horizontal="center" vertical="center"/>
      <protection locked="0"/>
    </xf>
    <xf numFmtId="14" fontId="36" fillId="0" borderId="59" xfId="2" applyNumberFormat="1" applyFont="1" applyBorder="1" applyAlignment="1" applyProtection="1">
      <alignment horizontal="center"/>
      <protection locked="0"/>
    </xf>
    <xf numFmtId="0" fontId="54" fillId="13" borderId="57" xfId="2" applyFont="1" applyFill="1" applyBorder="1" applyAlignment="1">
      <alignment horizontal="center"/>
    </xf>
    <xf numFmtId="0" fontId="36" fillId="13" borderId="57" xfId="2" applyFont="1" applyFill="1" applyBorder="1" applyAlignment="1" applyProtection="1">
      <alignment horizontal="center"/>
    </xf>
    <xf numFmtId="0" fontId="34" fillId="0" borderId="0" xfId="2" applyFont="1" applyBorder="1" applyAlignment="1">
      <alignment horizontal="left"/>
    </xf>
    <xf numFmtId="0" fontId="36" fillId="17" borderId="58" xfId="2" applyFont="1" applyFill="1" applyBorder="1" applyAlignment="1">
      <alignment horizontal="center"/>
    </xf>
    <xf numFmtId="0" fontId="39" fillId="0" borderId="42" xfId="2" applyFont="1" applyBorder="1" applyAlignment="1">
      <alignment horizontal="center"/>
    </xf>
    <xf numFmtId="0" fontId="39" fillId="13" borderId="57" xfId="2" applyFont="1" applyFill="1" applyBorder="1" applyAlignment="1" applyProtection="1">
      <alignment horizontal="center"/>
    </xf>
    <xf numFmtId="0" fontId="39" fillId="0" borderId="57" xfId="2" applyFont="1" applyBorder="1" applyAlignment="1" applyProtection="1">
      <alignment horizontal="center"/>
      <protection locked="0"/>
    </xf>
    <xf numFmtId="0" fontId="72" fillId="22" borderId="100" xfId="2" applyFont="1" applyFill="1" applyBorder="1" applyAlignment="1">
      <alignment horizontal="center"/>
    </xf>
    <xf numFmtId="0" fontId="36" fillId="13" borderId="92" xfId="2" applyFont="1" applyFill="1" applyBorder="1" applyAlignment="1">
      <alignment horizontal="center"/>
    </xf>
    <xf numFmtId="0" fontId="54" fillId="13" borderId="92" xfId="2" applyFont="1" applyFill="1" applyBorder="1" applyAlignment="1">
      <alignment horizontal="center"/>
    </xf>
    <xf numFmtId="0" fontId="36" fillId="13" borderId="58" xfId="2" applyFont="1" applyFill="1" applyBorder="1" applyAlignment="1" applyProtection="1">
      <alignment horizontal="center" wrapText="1"/>
    </xf>
    <xf numFmtId="0" fontId="36" fillId="0" borderId="58" xfId="2" applyFont="1" applyBorder="1" applyAlignment="1">
      <alignment horizontal="center"/>
    </xf>
    <xf numFmtId="0" fontId="36" fillId="13" borderId="57" xfId="2" applyFont="1" applyFill="1" applyBorder="1" applyAlignment="1" applyProtection="1">
      <alignment horizontal="center" wrapText="1"/>
    </xf>
    <xf numFmtId="0" fontId="51" fillId="0" borderId="57" xfId="2" applyFont="1" applyBorder="1" applyAlignment="1" applyProtection="1">
      <alignment horizontal="center"/>
      <protection locked="0"/>
    </xf>
    <xf numFmtId="0" fontId="34" fillId="0" borderId="58" xfId="2" applyFont="1" applyBorder="1" applyAlignment="1" applyProtection="1">
      <alignment horizontal="center"/>
      <protection locked="0"/>
    </xf>
    <xf numFmtId="0" fontId="34" fillId="0" borderId="57" xfId="2" applyFont="1" applyBorder="1" applyAlignment="1" applyProtection="1">
      <alignment horizontal="center"/>
      <protection locked="0"/>
    </xf>
    <xf numFmtId="0" fontId="36" fillId="13" borderId="58" xfId="2" applyFont="1" applyFill="1" applyBorder="1" applyAlignment="1" applyProtection="1">
      <alignment horizontal="center" vertical="center"/>
    </xf>
    <xf numFmtId="0" fontId="34" fillId="0" borderId="0" xfId="2" applyFont="1" applyAlignment="1" applyProtection="1">
      <alignment horizontal="left"/>
      <protection locked="0"/>
    </xf>
    <xf numFmtId="0" fontId="34" fillId="0" borderId="71" xfId="2" applyFont="1" applyBorder="1" applyAlignment="1" applyProtection="1">
      <alignment horizontal="left"/>
      <protection locked="0"/>
    </xf>
    <xf numFmtId="0" fontId="34" fillId="21" borderId="97" xfId="2" applyFont="1" applyFill="1" applyBorder="1" applyAlignment="1" applyProtection="1">
      <alignment horizontal="center"/>
    </xf>
    <xf numFmtId="0" fontId="34" fillId="21" borderId="98" xfId="2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left" vertical="center"/>
    </xf>
  </cellXfs>
  <cellStyles count="10">
    <cellStyle name="Lien hypertexte" xfId="7" builtinId="8"/>
    <cellStyle name="Normal" xfId="0" builtinId="0"/>
    <cellStyle name="Normal 2" xfId="2"/>
    <cellStyle name="Normal 2 2" xfId="6"/>
    <cellStyle name="Normal 3 2" xfId="4"/>
    <cellStyle name="Normal 6" xfId="5"/>
    <cellStyle name="Normal_classe Indicateurs biologiques RCS_RCO_RRP (02-01-17)" xfId="9"/>
    <cellStyle name="Normal_CS" xfId="8"/>
    <cellStyle name="Normal_résultats" xfId="1"/>
    <cellStyle name="Texte explicatif 2" xfId="3"/>
  </cellStyles>
  <dxfs count="17"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3333"/>
        <name val="Arial"/>
      </font>
    </dxf>
    <dxf>
      <font>
        <color rgb="FFFF3333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colors>
    <mruColors>
      <color rgb="FFCCFF99"/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1039261</xdr:colOff>
      <xdr:row>0</xdr:row>
      <xdr:rowOff>54428</xdr:rowOff>
    </xdr:from>
    <xdr:to>
      <xdr:col>8</xdr:col>
      <xdr:colOff>423520</xdr:colOff>
      <xdr:row>2</xdr:row>
      <xdr:rowOff>152219</xdr:rowOff>
    </xdr:to>
    <xdr:pic>
      <xdr:nvPicPr>
        <xdr:cNvPr id="2" name="Picture 9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28832" y="54428"/>
          <a:ext cx="568080" cy="10094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272143</xdr:colOff>
      <xdr:row>0</xdr:row>
      <xdr:rowOff>81642</xdr:rowOff>
    </xdr:from>
    <xdr:to>
      <xdr:col>1</xdr:col>
      <xdr:colOff>653142</xdr:colOff>
      <xdr:row>4</xdr:row>
      <xdr:rowOff>242742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143" y="81642"/>
          <a:ext cx="1864178" cy="1930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171450</xdr:rowOff>
        </xdr:from>
        <xdr:to>
          <xdr:col>0</xdr:col>
          <xdr:colOff>428625</xdr:colOff>
          <xdr:row>10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10</xdr:row>
          <xdr:rowOff>171450</xdr:rowOff>
        </xdr:from>
        <xdr:to>
          <xdr:col>0</xdr:col>
          <xdr:colOff>428625</xdr:colOff>
          <xdr:row>12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</xdr:row>
          <xdr:rowOff>171450</xdr:rowOff>
        </xdr:from>
        <xdr:to>
          <xdr:col>0</xdr:col>
          <xdr:colOff>428625</xdr:colOff>
          <xdr:row>14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171450</xdr:rowOff>
        </xdr:from>
        <xdr:to>
          <xdr:col>0</xdr:col>
          <xdr:colOff>428625</xdr:colOff>
          <xdr:row>13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10</xdr:row>
          <xdr:rowOff>171450</xdr:rowOff>
        </xdr:from>
        <xdr:to>
          <xdr:col>0</xdr:col>
          <xdr:colOff>428625</xdr:colOff>
          <xdr:row>12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171450</xdr:rowOff>
        </xdr:from>
        <xdr:to>
          <xdr:col>0</xdr:col>
          <xdr:colOff>428625</xdr:colOff>
          <xdr:row>11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</xdr:row>
          <xdr:rowOff>171450</xdr:rowOff>
        </xdr:from>
        <xdr:to>
          <xdr:col>0</xdr:col>
          <xdr:colOff>428625</xdr:colOff>
          <xdr:row>19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171450</xdr:rowOff>
        </xdr:from>
        <xdr:to>
          <xdr:col>0</xdr:col>
          <xdr:colOff>428625</xdr:colOff>
          <xdr:row>20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13</xdr:row>
          <xdr:rowOff>171450</xdr:rowOff>
        </xdr:from>
        <xdr:to>
          <xdr:col>4</xdr:col>
          <xdr:colOff>428625</xdr:colOff>
          <xdr:row>15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14</xdr:row>
          <xdr:rowOff>171450</xdr:rowOff>
        </xdr:from>
        <xdr:to>
          <xdr:col>4</xdr:col>
          <xdr:colOff>428625</xdr:colOff>
          <xdr:row>16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15</xdr:row>
          <xdr:rowOff>171450</xdr:rowOff>
        </xdr:from>
        <xdr:to>
          <xdr:col>4</xdr:col>
          <xdr:colOff>428625</xdr:colOff>
          <xdr:row>17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17</xdr:row>
          <xdr:rowOff>171450</xdr:rowOff>
        </xdr:from>
        <xdr:to>
          <xdr:col>4</xdr:col>
          <xdr:colOff>428625</xdr:colOff>
          <xdr:row>19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171450</xdr:rowOff>
        </xdr:from>
        <xdr:to>
          <xdr:col>4</xdr:col>
          <xdr:colOff>428625</xdr:colOff>
          <xdr:row>18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18</xdr:row>
          <xdr:rowOff>171450</xdr:rowOff>
        </xdr:from>
        <xdr:to>
          <xdr:col>4</xdr:col>
          <xdr:colOff>428625</xdr:colOff>
          <xdr:row>20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171450</xdr:rowOff>
        </xdr:from>
        <xdr:to>
          <xdr:col>7</xdr:col>
          <xdr:colOff>428625</xdr:colOff>
          <xdr:row>10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</xdr:row>
          <xdr:rowOff>171450</xdr:rowOff>
        </xdr:from>
        <xdr:to>
          <xdr:col>7</xdr:col>
          <xdr:colOff>428625</xdr:colOff>
          <xdr:row>11</xdr:row>
          <xdr:rowOff>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10</xdr:row>
          <xdr:rowOff>171450</xdr:rowOff>
        </xdr:from>
        <xdr:to>
          <xdr:col>7</xdr:col>
          <xdr:colOff>428625</xdr:colOff>
          <xdr:row>12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9</xdr:row>
          <xdr:rowOff>171450</xdr:rowOff>
        </xdr:from>
        <xdr:to>
          <xdr:col>11</xdr:col>
          <xdr:colOff>428625</xdr:colOff>
          <xdr:row>11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10</xdr:row>
          <xdr:rowOff>171450</xdr:rowOff>
        </xdr:from>
        <xdr:to>
          <xdr:col>11</xdr:col>
          <xdr:colOff>428625</xdr:colOff>
          <xdr:row>12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11</xdr:row>
          <xdr:rowOff>171450</xdr:rowOff>
        </xdr:from>
        <xdr:to>
          <xdr:col>11</xdr:col>
          <xdr:colOff>428625</xdr:colOff>
          <xdr:row>13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</xdr:row>
          <xdr:rowOff>171450</xdr:rowOff>
        </xdr:from>
        <xdr:to>
          <xdr:col>11</xdr:col>
          <xdr:colOff>428625</xdr:colOff>
          <xdr:row>14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171450</xdr:rowOff>
        </xdr:from>
        <xdr:to>
          <xdr:col>11</xdr:col>
          <xdr:colOff>428625</xdr:colOff>
          <xdr:row>15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17</xdr:row>
          <xdr:rowOff>171450</xdr:rowOff>
        </xdr:from>
        <xdr:to>
          <xdr:col>9</xdr:col>
          <xdr:colOff>428625</xdr:colOff>
          <xdr:row>19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16</xdr:row>
          <xdr:rowOff>171450</xdr:rowOff>
        </xdr:from>
        <xdr:to>
          <xdr:col>9</xdr:col>
          <xdr:colOff>428625</xdr:colOff>
          <xdr:row>18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171450</xdr:rowOff>
        </xdr:from>
        <xdr:to>
          <xdr:col>9</xdr:col>
          <xdr:colOff>428625</xdr:colOff>
          <xdr:row>20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8</xdr:row>
          <xdr:rowOff>171450</xdr:rowOff>
        </xdr:from>
        <xdr:to>
          <xdr:col>16</xdr:col>
          <xdr:colOff>428625</xdr:colOff>
          <xdr:row>10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</xdr:row>
          <xdr:rowOff>171450</xdr:rowOff>
        </xdr:from>
        <xdr:to>
          <xdr:col>16</xdr:col>
          <xdr:colOff>428625</xdr:colOff>
          <xdr:row>11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</xdr:row>
          <xdr:rowOff>171450</xdr:rowOff>
        </xdr:from>
        <xdr:to>
          <xdr:col>16</xdr:col>
          <xdr:colOff>428625</xdr:colOff>
          <xdr:row>12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11</xdr:row>
          <xdr:rowOff>171450</xdr:rowOff>
        </xdr:from>
        <xdr:to>
          <xdr:col>16</xdr:col>
          <xdr:colOff>428625</xdr:colOff>
          <xdr:row>13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</xdr:row>
          <xdr:rowOff>0</xdr:rowOff>
        </xdr:from>
        <xdr:to>
          <xdr:col>22</xdr:col>
          <xdr:colOff>438150</xdr:colOff>
          <xdr:row>9</xdr:row>
          <xdr:rowOff>9525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</xdr:row>
          <xdr:rowOff>171450</xdr:rowOff>
        </xdr:from>
        <xdr:to>
          <xdr:col>25</xdr:col>
          <xdr:colOff>428625</xdr:colOff>
          <xdr:row>9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14</xdr:row>
          <xdr:rowOff>171450</xdr:rowOff>
        </xdr:from>
        <xdr:to>
          <xdr:col>24</xdr:col>
          <xdr:colOff>428625</xdr:colOff>
          <xdr:row>16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0</xdr:row>
          <xdr:rowOff>590550</xdr:rowOff>
        </xdr:from>
        <xdr:to>
          <xdr:col>0</xdr:col>
          <xdr:colOff>457200</xdr:colOff>
          <xdr:row>1</xdr:row>
          <xdr:rowOff>180975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elisabeth.court@developpement-durable.gouv.fr" TargetMode="External"/><Relationship Id="rId1" Type="http://schemas.openxmlformats.org/officeDocument/2006/relationships/hyperlink" Target="mailto:brigitte.genin@developpement-durable.gouv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zoomScale="70" zoomScaleNormal="70" workbookViewId="0">
      <selection activeCell="K67" sqref="A1:K67"/>
    </sheetView>
  </sheetViews>
  <sheetFormatPr baseColWidth="10" defaultColWidth="9.140625" defaultRowHeight="12.75"/>
  <cols>
    <col min="1" max="1" width="22.28515625" style="155" customWidth="1"/>
    <col min="2" max="2" width="10.42578125" style="155" customWidth="1"/>
    <col min="3" max="3" width="18.5703125" style="155" customWidth="1"/>
    <col min="4" max="4" width="32.7109375" style="155" customWidth="1"/>
    <col min="5" max="5" width="27.5703125" style="155" customWidth="1"/>
    <col min="6" max="6" width="9.140625" style="155"/>
    <col min="7" max="7" width="16.28515625" style="155" customWidth="1"/>
    <col min="8" max="8" width="17.7109375" style="155" customWidth="1"/>
    <col min="9" max="9" width="24" style="155" customWidth="1"/>
    <col min="10" max="16384" width="9.140625" style="155"/>
  </cols>
  <sheetData>
    <row r="1" spans="1:11" ht="24" customHeight="1">
      <c r="A1" s="161"/>
      <c r="B1" s="161"/>
      <c r="C1" s="161"/>
      <c r="D1" s="162"/>
      <c r="E1" s="163"/>
      <c r="F1" s="164"/>
      <c r="G1" s="163"/>
      <c r="H1" s="163"/>
      <c r="I1" s="590" t="s">
        <v>18418</v>
      </c>
      <c r="J1" s="590"/>
      <c r="K1" s="590"/>
    </row>
    <row r="2" spans="1:11" ht="48" customHeight="1">
      <c r="A2" s="161"/>
      <c r="B2" s="163"/>
      <c r="C2" s="591" t="s">
        <v>18021</v>
      </c>
      <c r="D2" s="591"/>
      <c r="E2" s="165" t="str">
        <f>IF('2-SAISIE-IRSTEA'!B23=0, ,VLOOKUP('2-SAISIE-IRSTEA'!B23,Station,17,0))</f>
        <v>20210506945001INV</v>
      </c>
      <c r="F2" s="165"/>
      <c r="G2" s="163"/>
      <c r="H2" s="163"/>
      <c r="I2" s="590" t="s">
        <v>18022</v>
      </c>
      <c r="J2" s="590"/>
      <c r="K2" s="590"/>
    </row>
    <row r="3" spans="1:11" ht="27.75" customHeight="1">
      <c r="A3" s="161"/>
      <c r="B3" s="161"/>
      <c r="C3" s="161"/>
      <c r="D3" s="162"/>
      <c r="E3" s="162"/>
      <c r="F3" s="164"/>
      <c r="G3" s="163"/>
      <c r="H3" s="163"/>
      <c r="I3" s="163"/>
    </row>
    <row r="4" spans="1:11" ht="39.75" customHeight="1">
      <c r="A4" s="161"/>
      <c r="B4" s="163"/>
      <c r="C4" s="163"/>
      <c r="D4" s="162"/>
      <c r="E4" s="162"/>
      <c r="F4" s="164"/>
      <c r="G4" s="163"/>
      <c r="H4" s="163"/>
      <c r="I4" s="163"/>
    </row>
    <row r="5" spans="1:11" ht="42" customHeight="1">
      <c r="A5" s="163"/>
      <c r="B5" s="163"/>
      <c r="C5" s="163"/>
      <c r="D5" s="163"/>
      <c r="E5" s="163"/>
      <c r="F5" s="163"/>
      <c r="G5" s="163"/>
      <c r="H5" s="163"/>
      <c r="I5" s="163"/>
    </row>
    <row r="6" spans="1:11" ht="19.5" customHeight="1">
      <c r="A6" s="166" t="s">
        <v>18023</v>
      </c>
      <c r="B6" s="167"/>
      <c r="C6" s="168"/>
      <c r="D6" s="163"/>
      <c r="E6" s="163"/>
      <c r="F6" s="163"/>
      <c r="G6" s="163"/>
      <c r="H6" s="163"/>
      <c r="I6" s="163"/>
    </row>
    <row r="7" spans="1:11" ht="14.25">
      <c r="A7" s="169" t="s">
        <v>17947</v>
      </c>
      <c r="B7" s="168"/>
      <c r="C7" s="168"/>
      <c r="D7" s="163"/>
      <c r="E7" s="163"/>
      <c r="F7" s="163"/>
      <c r="G7" s="163"/>
      <c r="H7" s="163"/>
      <c r="I7" s="163"/>
    </row>
    <row r="8" spans="1:11" ht="15">
      <c r="A8" s="166"/>
      <c r="B8" s="167"/>
      <c r="C8" s="168"/>
      <c r="D8" s="163"/>
      <c r="E8" s="168"/>
      <c r="F8" s="166" t="s">
        <v>18024</v>
      </c>
      <c r="G8" s="163"/>
      <c r="H8" s="163"/>
      <c r="I8" s="163"/>
    </row>
    <row r="9" spans="1:11" ht="18" customHeight="1">
      <c r="A9" s="169"/>
      <c r="B9" s="168"/>
      <c r="C9" s="168"/>
      <c r="D9" s="163"/>
      <c r="E9" s="168"/>
      <c r="F9" s="592" t="s">
        <v>17963</v>
      </c>
      <c r="G9" s="592"/>
      <c r="H9" s="592"/>
      <c r="I9" s="592"/>
    </row>
    <row r="10" spans="1:11" ht="17.25" customHeight="1">
      <c r="A10" s="593" t="s">
        <v>17967</v>
      </c>
      <c r="B10" s="593"/>
      <c r="C10" s="593"/>
      <c r="D10" s="593"/>
      <c r="E10" s="163"/>
      <c r="F10" s="594" t="str">
        <f>VLOOKUP(F9,Destinataires,2)</f>
        <v>90, rue de Férétra - CS87801 -31078 Toulouse Cedex 4</v>
      </c>
      <c r="G10" s="594"/>
      <c r="H10" s="594"/>
      <c r="I10" s="594"/>
      <c r="J10" s="594"/>
      <c r="K10" s="594"/>
    </row>
    <row r="11" spans="1:11" ht="18" customHeight="1">
      <c r="A11" s="170" t="s">
        <v>18025</v>
      </c>
      <c r="B11" s="594" t="str">
        <f>VLOOKUP(A10,Sites,2)</f>
        <v>7 rue Léo Lagrange - 63033 Clermont-Ferrand Cedex 01</v>
      </c>
      <c r="C11" s="594"/>
      <c r="D11" s="594"/>
      <c r="E11" s="594"/>
      <c r="F11" s="163"/>
      <c r="G11" s="163"/>
      <c r="H11" s="163"/>
      <c r="I11" s="163"/>
    </row>
    <row r="12" spans="1:11" ht="18" customHeight="1">
      <c r="A12" s="170" t="s">
        <v>18026</v>
      </c>
      <c r="B12" s="594" t="str">
        <f>VLOOKUP(A10,Sites,3)</f>
        <v>04 73 17 37 30</v>
      </c>
      <c r="C12" s="594"/>
      <c r="D12" s="594"/>
      <c r="E12" s="594"/>
      <c r="F12" s="163"/>
      <c r="G12" s="163"/>
      <c r="H12" s="163"/>
      <c r="I12" s="163"/>
    </row>
    <row r="13" spans="1:11" ht="18.75" customHeight="1">
      <c r="A13" s="170" t="s">
        <v>18027</v>
      </c>
      <c r="B13" s="594" t="str">
        <f>VLOOKUP(A10,Sites,4)</f>
        <v>elisabeth.court@developpement-durable.gouv.fr</v>
      </c>
      <c r="C13" s="594"/>
      <c r="D13" s="594"/>
      <c r="E13" s="166"/>
      <c r="F13" s="163"/>
      <c r="G13" s="163"/>
      <c r="H13" s="163"/>
      <c r="I13" s="163"/>
    </row>
    <row r="14" spans="1:11" s="171" customFormat="1" ht="21" customHeight="1">
      <c r="A14" s="595" t="s">
        <v>18028</v>
      </c>
      <c r="B14" s="595"/>
      <c r="C14" s="595"/>
      <c r="D14" s="595"/>
      <c r="E14" s="595"/>
      <c r="F14" s="595"/>
      <c r="G14" s="595"/>
      <c r="H14" s="595"/>
      <c r="I14" s="595"/>
    </row>
    <row r="15" spans="1:11" s="171" customFormat="1" ht="16.5" customHeight="1">
      <c r="A15" s="172"/>
      <c r="B15" s="172"/>
      <c r="C15" s="172"/>
      <c r="D15" s="172"/>
      <c r="E15" s="172"/>
      <c r="F15" s="169"/>
      <c r="G15" s="169"/>
      <c r="H15" s="169"/>
      <c r="I15" s="169"/>
    </row>
    <row r="16" spans="1:11" s="171" customFormat="1" ht="16.5" customHeight="1">
      <c r="A16" s="172"/>
      <c r="B16" s="172"/>
      <c r="C16" s="172"/>
      <c r="D16" s="172"/>
      <c r="E16" s="172"/>
      <c r="F16" s="169"/>
      <c r="G16" s="169"/>
      <c r="H16" s="169"/>
      <c r="I16" s="169"/>
    </row>
    <row r="17" spans="1:9" s="171" customFormat="1" ht="16.5" customHeight="1">
      <c r="A17" s="172"/>
      <c r="B17" s="172"/>
      <c r="C17" s="172"/>
      <c r="D17" s="172"/>
      <c r="E17" s="172"/>
      <c r="F17" s="169"/>
      <c r="G17" s="169"/>
      <c r="H17" s="169"/>
      <c r="I17" s="169"/>
    </row>
    <row r="18" spans="1:9" s="171" customFormat="1" ht="17.25" customHeight="1">
      <c r="A18" s="172"/>
      <c r="B18" s="172"/>
      <c r="C18" s="172"/>
      <c r="D18" s="172"/>
      <c r="E18" s="172"/>
      <c r="F18" s="169"/>
      <c r="G18" s="169"/>
      <c r="H18" s="169"/>
      <c r="I18" s="169"/>
    </row>
    <row r="19" spans="1:9" s="166" customFormat="1" ht="15">
      <c r="A19" s="166" t="s">
        <v>18029</v>
      </c>
      <c r="C19" s="173"/>
      <c r="D19" s="173"/>
      <c r="E19" s="173"/>
    </row>
    <row r="20" spans="1:9" s="166" customFormat="1" ht="8.4499999999999993" customHeight="1">
      <c r="C20" s="173"/>
      <c r="D20" s="173"/>
      <c r="E20" s="173"/>
    </row>
    <row r="21" spans="1:9" s="175" customFormat="1" ht="24.75" customHeight="1">
      <c r="A21" s="174" t="s">
        <v>18593</v>
      </c>
      <c r="B21" s="607" t="str">
        <f>'2-SAISIE-IRSTEA'!B23</f>
        <v>05069450</v>
      </c>
      <c r="C21" s="607"/>
      <c r="D21" s="607"/>
      <c r="E21" s="390"/>
      <c r="F21" s="174" t="s">
        <v>18030</v>
      </c>
      <c r="G21" s="163"/>
      <c r="H21" s="174" t="s">
        <v>18031</v>
      </c>
      <c r="I21" s="163"/>
    </row>
    <row r="22" spans="1:9" s="175" customFormat="1" ht="31.5" customHeight="1">
      <c r="A22" s="174" t="s">
        <v>18594</v>
      </c>
      <c r="B22" s="608" t="str">
        <f>'2-SAISIE-IRSTEA'!C23</f>
        <v>CHAVANON</v>
      </c>
      <c r="C22" s="608"/>
      <c r="D22" s="608"/>
      <c r="E22" s="390"/>
      <c r="F22" s="598" t="s">
        <v>18032</v>
      </c>
      <c r="G22" s="598"/>
      <c r="H22" s="163" t="s">
        <v>18033</v>
      </c>
      <c r="I22" s="163"/>
    </row>
    <row r="23" spans="1:9" s="175" customFormat="1" ht="32.25" customHeight="1">
      <c r="A23" s="174" t="s">
        <v>18595</v>
      </c>
      <c r="B23" s="609" t="str">
        <f>'2-SAISIE-IRSTEA'!D23</f>
        <v>CHAVANON A SAVENNES</v>
      </c>
      <c r="C23" s="609"/>
      <c r="D23" s="609"/>
      <c r="E23" s="390"/>
      <c r="F23" s="163"/>
      <c r="G23" s="163"/>
      <c r="H23" s="163"/>
      <c r="I23" s="163"/>
    </row>
    <row r="24" spans="1:9" s="175" customFormat="1" ht="14.25">
      <c r="A24" s="163"/>
      <c r="B24" s="163"/>
      <c r="C24" s="163"/>
      <c r="D24" s="163"/>
      <c r="E24" s="163"/>
      <c r="F24" s="163"/>
      <c r="G24" s="163"/>
      <c r="H24" s="163"/>
      <c r="I24" s="163"/>
    </row>
    <row r="25" spans="1:9" s="175" customFormat="1" ht="14.25">
      <c r="A25" s="163"/>
      <c r="B25" s="163"/>
      <c r="C25" s="163"/>
      <c r="D25" s="163"/>
      <c r="E25" s="163"/>
      <c r="F25" s="163"/>
      <c r="G25" s="163"/>
      <c r="H25" s="163"/>
      <c r="I25" s="163"/>
    </row>
    <row r="26" spans="1:9" s="175" customFormat="1" ht="14.25">
      <c r="A26" s="163"/>
      <c r="B26" s="163"/>
      <c r="C26" s="163"/>
      <c r="D26" s="163"/>
      <c r="E26" s="163"/>
      <c r="F26" s="163"/>
      <c r="G26" s="163"/>
      <c r="H26" s="163"/>
      <c r="I26" s="163"/>
    </row>
    <row r="27" spans="1:9" s="175" customFormat="1" ht="14.25">
      <c r="A27" s="163"/>
      <c r="B27" s="163"/>
      <c r="C27" s="163"/>
      <c r="D27" s="163"/>
      <c r="E27" s="163"/>
      <c r="F27" s="163"/>
      <c r="G27" s="163"/>
      <c r="H27" s="163"/>
      <c r="I27" s="163"/>
    </row>
    <row r="28" spans="1:9" s="175" customFormat="1" ht="14.25">
      <c r="A28" s="163"/>
      <c r="B28" s="163"/>
      <c r="C28" s="163"/>
      <c r="D28" s="163"/>
      <c r="E28" s="163"/>
      <c r="F28" s="163"/>
      <c r="G28" s="163"/>
      <c r="H28" s="163"/>
      <c r="I28" s="163"/>
    </row>
    <row r="29" spans="1:9" s="175" customFormat="1" ht="14.25">
      <c r="A29" s="163"/>
      <c r="B29" s="163"/>
      <c r="C29" s="163"/>
      <c r="D29" s="163"/>
      <c r="E29" s="163"/>
      <c r="F29" s="163"/>
      <c r="G29" s="163"/>
      <c r="H29" s="163"/>
      <c r="I29" s="163"/>
    </row>
    <row r="30" spans="1:9" s="176" customFormat="1" ht="15">
      <c r="A30" s="176" t="s">
        <v>18035</v>
      </c>
      <c r="B30" s="177"/>
      <c r="C30" s="177"/>
      <c r="D30" s="177"/>
      <c r="F30" s="177"/>
    </row>
    <row r="31" spans="1:9" s="176" customFormat="1" ht="8.4499999999999993" customHeight="1">
      <c r="B31" s="177"/>
      <c r="C31" s="177"/>
      <c r="D31" s="177"/>
      <c r="F31" s="177"/>
    </row>
    <row r="32" spans="1:9" s="176" customFormat="1" ht="26.25" customHeight="1">
      <c r="A32" s="598" t="s">
        <v>18036</v>
      </c>
      <c r="B32" s="598"/>
      <c r="C32" s="598"/>
      <c r="D32" s="610" t="s">
        <v>18023</v>
      </c>
      <c r="E32" s="610"/>
      <c r="F32" s="174" t="s">
        <v>18037</v>
      </c>
      <c r="G32" s="163"/>
      <c r="H32" s="177" t="s">
        <v>18038</v>
      </c>
      <c r="I32" s="163"/>
    </row>
    <row r="33" spans="1:12" s="175" customFormat="1" ht="30.75" customHeight="1">
      <c r="A33" s="597" t="s">
        <v>18039</v>
      </c>
      <c r="B33" s="597"/>
      <c r="C33" s="597"/>
      <c r="D33" s="178">
        <f>'2-SAISIE-IRSTEA'!D26</f>
        <v>44439</v>
      </c>
      <c r="E33" s="163"/>
      <c r="F33" s="598" t="s">
        <v>18040</v>
      </c>
      <c r="G33" s="598"/>
      <c r="H33" s="598"/>
      <c r="I33" s="599" t="s">
        <v>17922</v>
      </c>
      <c r="J33" s="599"/>
      <c r="K33" s="599"/>
    </row>
    <row r="34" spans="1:12" s="175" customFormat="1" ht="32.25" customHeight="1">
      <c r="A34" s="602" t="s">
        <v>18041</v>
      </c>
      <c r="B34" s="602"/>
      <c r="C34" s="602"/>
      <c r="D34" s="468" t="s">
        <v>17936</v>
      </c>
      <c r="E34" s="163"/>
      <c r="F34" s="604" t="s">
        <v>18042</v>
      </c>
      <c r="G34" s="604"/>
      <c r="H34" s="604"/>
      <c r="I34" s="605" t="s">
        <v>17937</v>
      </c>
      <c r="J34" s="605"/>
      <c r="K34" s="605"/>
    </row>
    <row r="35" spans="1:12" s="175" customFormat="1" ht="33.75" customHeight="1">
      <c r="A35" s="602" t="s">
        <v>18043</v>
      </c>
      <c r="B35" s="602"/>
      <c r="C35" s="602"/>
      <c r="D35" s="468" t="s">
        <v>17954</v>
      </c>
      <c r="E35" s="180"/>
      <c r="F35" s="606"/>
      <c r="G35" s="606"/>
      <c r="H35" s="606"/>
      <c r="I35" s="163"/>
    </row>
    <row r="36" spans="1:12" s="175" customFormat="1" ht="40.5" customHeight="1">
      <c r="A36" s="602" t="s">
        <v>18044</v>
      </c>
      <c r="B36" s="602"/>
      <c r="C36" s="602"/>
      <c r="D36" s="468" t="s">
        <v>17965</v>
      </c>
      <c r="E36" s="468" t="s">
        <v>17906</v>
      </c>
      <c r="F36" s="181"/>
      <c r="G36" s="181"/>
      <c r="H36" s="163"/>
      <c r="I36" s="163"/>
    </row>
    <row r="37" spans="1:12" s="175" customFormat="1" ht="19.5" customHeight="1">
      <c r="F37" s="163"/>
      <c r="G37" s="163"/>
      <c r="H37" s="163"/>
      <c r="I37" s="163"/>
    </row>
    <row r="38" spans="1:12" s="175" customFormat="1" ht="17.25" customHeight="1">
      <c r="A38" s="172"/>
      <c r="B38" s="172"/>
      <c r="C38" s="172"/>
      <c r="D38" s="172"/>
      <c r="E38" s="172"/>
      <c r="F38" s="163"/>
      <c r="G38" s="163"/>
      <c r="H38" s="163"/>
      <c r="I38" s="163"/>
    </row>
    <row r="39" spans="1:12" s="175" customFormat="1" ht="31.35" customHeight="1">
      <c r="A39" s="600" t="s">
        <v>18045</v>
      </c>
      <c r="B39" s="600"/>
      <c r="C39" s="600"/>
      <c r="D39" s="600"/>
      <c r="E39" s="600"/>
      <c r="F39" s="600"/>
      <c r="G39" s="600"/>
      <c r="H39" s="600"/>
      <c r="I39" s="600"/>
      <c r="J39" s="600"/>
      <c r="K39" s="600"/>
    </row>
    <row r="40" spans="1:12" s="175" customFormat="1" ht="31.35" customHeight="1">
      <c r="A40" s="601" t="s">
        <v>18730</v>
      </c>
      <c r="B40" s="601"/>
      <c r="C40" s="601"/>
      <c r="D40" s="601"/>
      <c r="E40" s="601"/>
      <c r="F40" s="601"/>
      <c r="G40" s="601"/>
      <c r="H40" s="601"/>
      <c r="I40" s="601"/>
      <c r="J40" s="601"/>
      <c r="K40" s="601"/>
      <c r="L40" s="470"/>
    </row>
    <row r="41" spans="1:12" s="175" customFormat="1" ht="14.25" customHeight="1">
      <c r="A41" s="601"/>
      <c r="B41" s="601"/>
      <c r="C41" s="601"/>
      <c r="D41" s="601"/>
      <c r="E41" s="601"/>
      <c r="F41" s="601"/>
      <c r="G41" s="601"/>
      <c r="H41" s="601"/>
      <c r="I41" s="601"/>
      <c r="J41" s="601"/>
      <c r="K41" s="601"/>
    </row>
    <row r="42" spans="1:12" s="175" customFormat="1" ht="10.5" customHeight="1">
      <c r="A42" s="172"/>
      <c r="B42" s="172"/>
      <c r="C42" s="172"/>
      <c r="D42" s="172"/>
      <c r="E42" s="172"/>
      <c r="F42" s="163"/>
      <c r="G42" s="163"/>
      <c r="H42" s="163"/>
      <c r="I42" s="163"/>
    </row>
    <row r="43" spans="1:12" s="183" customFormat="1" ht="12.75" customHeight="1">
      <c r="A43" s="182"/>
      <c r="B43" s="182"/>
      <c r="C43" s="179"/>
      <c r="D43" s="179"/>
      <c r="E43" s="179"/>
      <c r="F43" s="182"/>
      <c r="G43" s="182"/>
      <c r="H43" s="182"/>
      <c r="I43" s="182"/>
    </row>
    <row r="44" spans="1:12" s="176" customFormat="1" ht="16.5" customHeight="1">
      <c r="A44" s="603" t="s">
        <v>18046</v>
      </c>
      <c r="B44" s="603"/>
      <c r="C44" s="603"/>
      <c r="D44" s="185"/>
      <c r="E44" s="185"/>
    </row>
    <row r="45" spans="1:12" s="176" customFormat="1" ht="17.25" customHeight="1">
      <c r="B45" s="184"/>
      <c r="C45" s="184"/>
      <c r="D45" s="185"/>
      <c r="E45" s="185"/>
    </row>
    <row r="46" spans="1:12" s="175" customFormat="1" ht="48" customHeight="1">
      <c r="A46" s="614" t="s">
        <v>18047</v>
      </c>
      <c r="B46" s="614"/>
      <c r="C46" s="614"/>
      <c r="D46" s="615" t="s">
        <v>18023</v>
      </c>
      <c r="E46" s="615"/>
      <c r="F46" s="602" t="s">
        <v>18048</v>
      </c>
      <c r="G46" s="602"/>
      <c r="H46" s="602"/>
      <c r="I46" s="176" t="s">
        <v>18726</v>
      </c>
    </row>
    <row r="47" spans="1:12" s="175" customFormat="1" ht="17.25" customHeight="1">
      <c r="F47" s="163"/>
      <c r="G47" s="163"/>
      <c r="H47" s="163"/>
      <c r="I47" s="163"/>
    </row>
    <row r="48" spans="1:12" s="163" customFormat="1" ht="26.25" customHeight="1">
      <c r="A48" s="163" t="s">
        <v>18049</v>
      </c>
      <c r="D48" s="469" t="s">
        <v>17965</v>
      </c>
      <c r="H48" s="168"/>
    </row>
    <row r="49" spans="1:12" s="163" customFormat="1" ht="26.25" customHeight="1">
      <c r="C49" s="180"/>
      <c r="D49" s="467"/>
      <c r="E49" s="180"/>
      <c r="H49" s="168"/>
    </row>
    <row r="50" spans="1:12" s="163" customFormat="1" ht="15">
      <c r="A50" s="177"/>
      <c r="C50" s="180"/>
      <c r="D50" s="180"/>
      <c r="E50" s="180"/>
      <c r="H50" s="168"/>
    </row>
    <row r="51" spans="1:12" s="163" customFormat="1" ht="15">
      <c r="A51" s="177" t="s">
        <v>18050</v>
      </c>
      <c r="C51" s="180"/>
      <c r="D51" s="180"/>
      <c r="E51" s="180"/>
      <c r="H51" s="168"/>
    </row>
    <row r="52" spans="1:12" s="186" customFormat="1" ht="15" customHeight="1">
      <c r="A52" s="601" t="s">
        <v>17921</v>
      </c>
      <c r="B52" s="601"/>
      <c r="C52" s="601"/>
      <c r="D52" s="601"/>
      <c r="E52" s="601"/>
      <c r="F52" s="601"/>
      <c r="G52" s="601"/>
      <c r="H52" s="601"/>
      <c r="I52" s="601"/>
      <c r="J52" s="601"/>
      <c r="K52" s="601"/>
      <c r="L52" s="470"/>
    </row>
    <row r="53" spans="1:12" s="186" customFormat="1" ht="15" customHeight="1">
      <c r="A53" s="601"/>
      <c r="B53" s="601"/>
      <c r="C53" s="601"/>
      <c r="D53" s="601"/>
      <c r="E53" s="601"/>
      <c r="F53" s="601"/>
      <c r="G53" s="601"/>
      <c r="H53" s="601"/>
      <c r="I53" s="601"/>
      <c r="J53" s="601"/>
      <c r="K53" s="601"/>
      <c r="L53" s="470"/>
    </row>
    <row r="54" spans="1:12" s="186" customFormat="1" ht="15" customHeight="1">
      <c r="A54" s="601"/>
      <c r="B54" s="601"/>
      <c r="C54" s="601"/>
      <c r="D54" s="601"/>
      <c r="E54" s="601"/>
      <c r="F54" s="601"/>
      <c r="G54" s="601"/>
      <c r="H54" s="601"/>
      <c r="I54" s="601"/>
      <c r="J54" s="601"/>
      <c r="K54" s="601"/>
    </row>
    <row r="55" spans="1:12" s="186" customFormat="1" ht="9" customHeight="1">
      <c r="A55" s="163"/>
      <c r="B55" s="168"/>
      <c r="C55" s="174"/>
      <c r="D55" s="174"/>
      <c r="E55" s="174"/>
      <c r="F55" s="163"/>
      <c r="G55" s="163"/>
      <c r="H55" s="168"/>
      <c r="I55" s="163"/>
    </row>
    <row r="56" spans="1:12" s="186" customFormat="1" ht="15" customHeight="1">
      <c r="A56" s="163"/>
      <c r="B56" s="168"/>
      <c r="C56" s="612" t="s">
        <v>18051</v>
      </c>
      <c r="D56" s="612"/>
      <c r="E56" s="612"/>
      <c r="F56" s="163"/>
      <c r="G56" s="612" t="s">
        <v>18052</v>
      </c>
      <c r="H56" s="612"/>
      <c r="I56" s="612"/>
      <c r="J56" s="612"/>
    </row>
    <row r="57" spans="1:12" s="186" customFormat="1" ht="14.25">
      <c r="A57" s="163"/>
      <c r="B57" s="168"/>
      <c r="C57" s="174"/>
      <c r="D57" s="168"/>
      <c r="E57" s="163"/>
      <c r="F57" s="163"/>
      <c r="G57" s="163"/>
      <c r="H57" s="168"/>
      <c r="I57" s="163"/>
    </row>
    <row r="58" spans="1:12" s="186" customFormat="1" ht="14.25">
      <c r="A58" s="163"/>
      <c r="B58" s="168"/>
      <c r="C58" s="174"/>
      <c r="D58" s="187"/>
      <c r="E58" s="188"/>
      <c r="F58" s="188"/>
      <c r="G58" s="617"/>
      <c r="H58" s="617"/>
      <c r="I58" s="617"/>
      <c r="J58" s="617"/>
    </row>
    <row r="59" spans="1:12" s="186" customFormat="1" ht="14.25">
      <c r="A59" s="163"/>
      <c r="B59" s="168"/>
      <c r="C59" s="174"/>
      <c r="D59" s="187"/>
      <c r="E59" s="188"/>
      <c r="F59" s="188"/>
      <c r="G59" s="188"/>
      <c r="H59" s="187"/>
      <c r="I59" s="163"/>
    </row>
    <row r="60" spans="1:12" s="186" customFormat="1" ht="14.25">
      <c r="A60" s="163"/>
      <c r="B60" s="168"/>
      <c r="F60" s="188"/>
    </row>
    <row r="61" spans="1:12" s="186" customFormat="1" ht="14.25">
      <c r="A61" s="163"/>
      <c r="B61" s="168"/>
      <c r="C61" s="174"/>
      <c r="D61" s="187"/>
      <c r="E61" s="188"/>
      <c r="F61" s="188"/>
      <c r="G61" s="188"/>
      <c r="H61" s="187"/>
      <c r="I61" s="163"/>
    </row>
    <row r="62" spans="1:12" s="186" customFormat="1" ht="14.25">
      <c r="A62" s="163"/>
      <c r="B62" s="168"/>
      <c r="C62" s="174"/>
      <c r="D62" s="187"/>
      <c r="E62" s="188"/>
      <c r="F62" s="188"/>
      <c r="G62" s="188"/>
      <c r="H62" s="187"/>
      <c r="I62" s="163"/>
    </row>
    <row r="63" spans="1:12" s="186" customFormat="1" ht="14.25">
      <c r="A63" s="163"/>
      <c r="B63" s="168"/>
      <c r="C63" s="596" t="s">
        <v>17969</v>
      </c>
      <c r="D63" s="596"/>
      <c r="E63" s="596"/>
      <c r="F63" s="163"/>
      <c r="G63" s="596" t="s">
        <v>17968</v>
      </c>
      <c r="H63" s="596"/>
      <c r="I63" s="596"/>
      <c r="J63" s="596"/>
    </row>
    <row r="64" spans="1:12" ht="23.25" customHeight="1">
      <c r="A64" s="471"/>
      <c r="B64" s="471"/>
      <c r="C64" s="471"/>
      <c r="D64" s="471"/>
      <c r="E64" s="471"/>
      <c r="F64" s="471"/>
      <c r="G64" s="471"/>
      <c r="H64" s="471"/>
      <c r="I64" s="471"/>
      <c r="J64" s="189"/>
    </row>
    <row r="65" spans="1:11">
      <c r="A65" s="616" t="s">
        <v>18438</v>
      </c>
      <c r="B65" s="616"/>
      <c r="C65" s="616"/>
      <c r="D65" s="616"/>
      <c r="E65" s="616"/>
      <c r="F65" s="616"/>
      <c r="G65" s="616"/>
      <c r="H65" s="616"/>
      <c r="I65" s="616"/>
    </row>
    <row r="66" spans="1:11">
      <c r="A66" s="190"/>
      <c r="B66" s="190"/>
      <c r="C66" s="190"/>
      <c r="D66" s="190"/>
      <c r="E66" s="190"/>
      <c r="F66" s="190"/>
      <c r="G66" s="190"/>
      <c r="H66" s="190"/>
      <c r="I66" s="190"/>
    </row>
    <row r="67" spans="1:11" ht="15">
      <c r="A67" s="613" t="s">
        <v>18441</v>
      </c>
      <c r="B67" s="613"/>
      <c r="C67" s="613"/>
      <c r="D67" s="613"/>
      <c r="E67" s="613"/>
      <c r="F67" s="613"/>
      <c r="G67" s="613"/>
      <c r="H67" s="613"/>
      <c r="I67" s="613"/>
    </row>
    <row r="68" spans="1:11" ht="50.25" customHeight="1">
      <c r="A68" s="190"/>
      <c r="B68" s="190"/>
      <c r="C68" s="190"/>
      <c r="D68" s="190"/>
      <c r="E68" s="190"/>
      <c r="F68" s="190"/>
      <c r="G68" s="190"/>
      <c r="H68" s="190"/>
      <c r="I68" s="190"/>
    </row>
    <row r="69" spans="1:11">
      <c r="A69" s="611" t="s">
        <v>18440</v>
      </c>
      <c r="B69" s="611"/>
      <c r="C69" s="611"/>
      <c r="D69" s="611"/>
      <c r="E69" s="611"/>
      <c r="F69" s="611"/>
      <c r="G69" s="611"/>
      <c r="H69" s="611"/>
      <c r="I69" s="611"/>
      <c r="J69" s="611"/>
      <c r="K69" s="611"/>
    </row>
    <row r="70" spans="1:11">
      <c r="A70" s="191"/>
    </row>
    <row r="72" spans="1:11">
      <c r="A72" s="191"/>
    </row>
  </sheetData>
  <sheetProtection algorithmName="SHA-512" hashValue="W/+F0UjBsAfbE9udIoCZJPHXNpljECR7kVYVZcKZm9ri1W4/zVsDBhLnxKPV+Bbry0IqFST4jz43o95WlDHfEg==" saltValue="t0S3l7WdJCRw5U120rzSIQ==" spinCount="100000" sheet="1" objects="1" scenarios="1"/>
  <mergeCells count="40">
    <mergeCell ref="A69:K69"/>
    <mergeCell ref="G56:J56"/>
    <mergeCell ref="A67:I67"/>
    <mergeCell ref="A46:C46"/>
    <mergeCell ref="D46:E46"/>
    <mergeCell ref="C56:E56"/>
    <mergeCell ref="A65:I65"/>
    <mergeCell ref="G58:J58"/>
    <mergeCell ref="C63:E63"/>
    <mergeCell ref="F34:H34"/>
    <mergeCell ref="I34:K34"/>
    <mergeCell ref="F35:H35"/>
    <mergeCell ref="B21:D21"/>
    <mergeCell ref="B22:D22"/>
    <mergeCell ref="F22:G22"/>
    <mergeCell ref="B23:D23"/>
    <mergeCell ref="A32:C32"/>
    <mergeCell ref="D32:E32"/>
    <mergeCell ref="B11:E11"/>
    <mergeCell ref="B12:E12"/>
    <mergeCell ref="B13:D13"/>
    <mergeCell ref="A14:I14"/>
    <mergeCell ref="G63:J63"/>
    <mergeCell ref="A33:C33"/>
    <mergeCell ref="F33:H33"/>
    <mergeCell ref="I33:K33"/>
    <mergeCell ref="A39:K39"/>
    <mergeCell ref="A52:K54"/>
    <mergeCell ref="A40:K41"/>
    <mergeCell ref="F46:H46"/>
    <mergeCell ref="A44:C44"/>
    <mergeCell ref="A34:C34"/>
    <mergeCell ref="A35:C35"/>
    <mergeCell ref="A36:C36"/>
    <mergeCell ref="I1:K1"/>
    <mergeCell ref="I2:K2"/>
    <mergeCell ref="C2:D2"/>
    <mergeCell ref="F9:I9"/>
    <mergeCell ref="A10:D10"/>
    <mergeCell ref="F10:K10"/>
  </mergeCells>
  <conditionalFormatting sqref="A10 F9 I33:K34 D34:D36 D48 C63:E63 G63:J63">
    <cfRule type="cellIs" dxfId="14" priority="5" operator="equal">
      <formula>""</formula>
    </cfRule>
  </conditionalFormatting>
  <conditionalFormatting sqref="E36">
    <cfRule type="cellIs" dxfId="13" priority="4" operator="equal">
      <formula>""</formula>
    </cfRule>
  </conditionalFormatting>
  <conditionalFormatting sqref="A52">
    <cfRule type="cellIs" dxfId="12" priority="3" operator="equal">
      <formula>""</formula>
    </cfRule>
  </conditionalFormatting>
  <conditionalFormatting sqref="A40">
    <cfRule type="cellIs" dxfId="11" priority="2" operator="equal">
      <formula>""</formula>
    </cfRule>
  </conditionalFormatting>
  <printOptions horizontalCentered="1"/>
  <pageMargins left="0.43307086614173229" right="0.27559055118110237" top="0.47244094488188981" bottom="0.9055118110236221" header="0.51181102362204722" footer="0.39370078740157483"/>
  <pageSetup paperSize="9" scale="49" firstPageNumber="0" orientation="portrait" errors="blank" horizontalDpi="1200" verticalDpi="1200" r:id="rId1"/>
  <headerFooter>
    <oddFooter>&amp;L&amp;8PR19 EN01 - Indice de rév. : 09&amp;CRapport d'essai invertébrés n° 20210506945001INV&amp;R&amp;8N°page 1/2</oddFooter>
    <firstFooter>&amp;LPR19 EN01 - Indice de rév. : 08&amp;CRapport d'essai invertébrés n° 20xxxxxxxxxxxxINV&amp;RN°page 1/2</firstFooter>
  </headerFooter>
  <rowBreaks count="1" manualBreakCount="1">
    <brk id="6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Listes_deroulantes!$U$2:$U$6</xm:f>
          </x14:formula1>
          <xm:sqref>D34</xm:sqref>
        </x14:dataValidation>
        <x14:dataValidation type="list" allowBlank="1" showInputMessage="1" showErrorMessage="1">
          <x14:formula1>
            <xm:f>Listes_deroulantes!#REF!</xm:f>
          </x14:formula1>
          <xm:sqref>D37:D38</xm:sqref>
        </x14:dataValidation>
        <x14:dataValidation type="list" allowBlank="1" showInputMessage="1" showErrorMessage="1">
          <x14:formula1>
            <xm:f>Listes_deroulantes!$V$2:$V$4</xm:f>
          </x14:formula1>
          <xm:sqref>D35</xm:sqref>
        </x14:dataValidation>
        <x14:dataValidation type="list" allowBlank="1" showInputMessage="1" showErrorMessage="1">
          <x14:formula1>
            <xm:f>Listes_deroulantes!$C$2:$C$3</xm:f>
          </x14:formula1>
          <xm:sqref>A10:D10</xm:sqref>
        </x14:dataValidation>
        <x14:dataValidation type="list" allowBlank="1" showInputMessage="1" showErrorMessage="1">
          <x14:formula1>
            <xm:f>Listes_deroulantes!$I$2:$I$4</xm:f>
          </x14:formula1>
          <xm:sqref>F9:I9</xm:sqref>
        </x14:dataValidation>
        <x14:dataValidation type="list" allowBlank="1" showInputMessage="1" showErrorMessage="1">
          <x14:formula1>
            <xm:f>Listes_deroulantes!$G$2:$G$8</xm:f>
          </x14:formula1>
          <xm:sqref>D36:E36 D48:E48</xm:sqref>
        </x14:dataValidation>
        <x14:dataValidation type="list" allowBlank="1" showInputMessage="1" showErrorMessage="1">
          <x14:formula1>
            <xm:f>Listes_deroulantes!$T$2:$T$6</xm:f>
          </x14:formula1>
          <xm:sqref>I34:K34</xm:sqref>
        </x14:dataValidation>
        <x14:dataValidation type="list" allowBlank="1" showInputMessage="1" showErrorMessage="1">
          <x14:formula1>
            <xm:f>Listes_deroulantes!$A$2:$A$4</xm:f>
          </x14:formula1>
          <xm:sqref>C63:E63</xm:sqref>
        </x14:dataValidation>
        <x14:dataValidation type="list" allowBlank="1" showInputMessage="1" showErrorMessage="1">
          <x14:formula1>
            <xm:f>Listes_deroulantes!$B$2:$B$4</xm:f>
          </x14:formula1>
          <xm:sqref>G63:J63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9"/>
  <sheetViews>
    <sheetView tabSelected="1" topLeftCell="O141" zoomScale="85" zoomScaleNormal="85" workbookViewId="0">
      <selection activeCell="K4" sqref="K4:K10"/>
    </sheetView>
  </sheetViews>
  <sheetFormatPr baseColWidth="10" defaultRowHeight="15"/>
  <cols>
    <col min="1" max="4" width="24.140625" style="15" customWidth="1"/>
    <col min="5" max="5" width="23.28515625" style="15" customWidth="1"/>
    <col min="6" max="6" width="24.85546875" style="16" customWidth="1"/>
    <col min="7" max="7" width="22.140625" style="16" customWidth="1"/>
    <col min="8" max="13" width="24.85546875" style="15" customWidth="1"/>
    <col min="14" max="19" width="29.140625" style="15" customWidth="1"/>
    <col min="20" max="20" width="19.28515625" style="15" customWidth="1"/>
    <col min="21" max="21" width="32.42578125" style="17" customWidth="1"/>
    <col min="22" max="37" width="12.140625" style="17" customWidth="1"/>
    <col min="38" max="252" width="11.42578125" style="17"/>
    <col min="253" max="256" width="24.140625" style="17" customWidth="1"/>
    <col min="257" max="257" width="22.140625" style="17" customWidth="1"/>
    <col min="258" max="258" width="24.85546875" style="17" customWidth="1"/>
    <col min="259" max="259" width="22.140625" style="17" customWidth="1"/>
    <col min="260" max="271" width="29.140625" style="17" customWidth="1"/>
    <col min="272" max="272" width="18.85546875" style="17" bestFit="1" customWidth="1"/>
    <col min="273" max="273" width="16.7109375" style="17" bestFit="1" customWidth="1"/>
    <col min="274" max="274" width="14.85546875" style="17" bestFit="1" customWidth="1"/>
    <col min="275" max="275" width="13.5703125" style="17" bestFit="1" customWidth="1"/>
    <col min="276" max="276" width="6" style="17" bestFit="1" customWidth="1"/>
    <col min="277" max="277" width="32.42578125" style="17" customWidth="1"/>
    <col min="278" max="293" width="12.140625" style="17" customWidth="1"/>
    <col min="294" max="508" width="11.42578125" style="17"/>
    <col min="509" max="512" width="24.140625" style="17" customWidth="1"/>
    <col min="513" max="513" width="22.140625" style="17" customWidth="1"/>
    <col min="514" max="514" width="24.85546875" style="17" customWidth="1"/>
    <col min="515" max="515" width="22.140625" style="17" customWidth="1"/>
    <col min="516" max="527" width="29.140625" style="17" customWidth="1"/>
    <col min="528" max="528" width="18.85546875" style="17" bestFit="1" customWidth="1"/>
    <col min="529" max="529" width="16.7109375" style="17" bestFit="1" customWidth="1"/>
    <col min="530" max="530" width="14.85546875" style="17" bestFit="1" customWidth="1"/>
    <col min="531" max="531" width="13.5703125" style="17" bestFit="1" customWidth="1"/>
    <col min="532" max="532" width="6" style="17" bestFit="1" customWidth="1"/>
    <col min="533" max="533" width="32.42578125" style="17" customWidth="1"/>
    <col min="534" max="549" width="12.140625" style="17" customWidth="1"/>
    <col min="550" max="764" width="11.42578125" style="17"/>
    <col min="765" max="768" width="24.140625" style="17" customWidth="1"/>
    <col min="769" max="769" width="22.140625" style="17" customWidth="1"/>
    <col min="770" max="770" width="24.85546875" style="17" customWidth="1"/>
    <col min="771" max="771" width="22.140625" style="17" customWidth="1"/>
    <col min="772" max="783" width="29.140625" style="17" customWidth="1"/>
    <col min="784" max="784" width="18.85546875" style="17" bestFit="1" customWidth="1"/>
    <col min="785" max="785" width="16.7109375" style="17" bestFit="1" customWidth="1"/>
    <col min="786" max="786" width="14.85546875" style="17" bestFit="1" customWidth="1"/>
    <col min="787" max="787" width="13.5703125" style="17" bestFit="1" customWidth="1"/>
    <col min="788" max="788" width="6" style="17" bestFit="1" customWidth="1"/>
    <col min="789" max="789" width="32.42578125" style="17" customWidth="1"/>
    <col min="790" max="805" width="12.140625" style="17" customWidth="1"/>
    <col min="806" max="1020" width="11.42578125" style="17"/>
    <col min="1021" max="1024" width="24.140625" style="17" customWidth="1"/>
    <col min="1025" max="1025" width="22.140625" style="17" customWidth="1"/>
    <col min="1026" max="1026" width="24.85546875" style="17" customWidth="1"/>
    <col min="1027" max="1027" width="22.140625" style="17" customWidth="1"/>
    <col min="1028" max="1039" width="29.140625" style="17" customWidth="1"/>
    <col min="1040" max="1040" width="18.85546875" style="17" bestFit="1" customWidth="1"/>
    <col min="1041" max="1041" width="16.7109375" style="17" bestFit="1" customWidth="1"/>
    <col min="1042" max="1042" width="14.85546875" style="17" bestFit="1" customWidth="1"/>
    <col min="1043" max="1043" width="13.5703125" style="17" bestFit="1" customWidth="1"/>
    <col min="1044" max="1044" width="6" style="17" bestFit="1" customWidth="1"/>
    <col min="1045" max="1045" width="32.42578125" style="17" customWidth="1"/>
    <col min="1046" max="1061" width="12.140625" style="17" customWidth="1"/>
    <col min="1062" max="1276" width="11.42578125" style="17"/>
    <col min="1277" max="1280" width="24.140625" style="17" customWidth="1"/>
    <col min="1281" max="1281" width="22.140625" style="17" customWidth="1"/>
    <col min="1282" max="1282" width="24.85546875" style="17" customWidth="1"/>
    <col min="1283" max="1283" width="22.140625" style="17" customWidth="1"/>
    <col min="1284" max="1295" width="29.140625" style="17" customWidth="1"/>
    <col min="1296" max="1296" width="18.85546875" style="17" bestFit="1" customWidth="1"/>
    <col min="1297" max="1297" width="16.7109375" style="17" bestFit="1" customWidth="1"/>
    <col min="1298" max="1298" width="14.85546875" style="17" bestFit="1" customWidth="1"/>
    <col min="1299" max="1299" width="13.5703125" style="17" bestFit="1" customWidth="1"/>
    <col min="1300" max="1300" width="6" style="17" bestFit="1" customWidth="1"/>
    <col min="1301" max="1301" width="32.42578125" style="17" customWidth="1"/>
    <col min="1302" max="1317" width="12.140625" style="17" customWidth="1"/>
    <col min="1318" max="1532" width="11.42578125" style="17"/>
    <col min="1533" max="1536" width="24.140625" style="17" customWidth="1"/>
    <col min="1537" max="1537" width="22.140625" style="17" customWidth="1"/>
    <col min="1538" max="1538" width="24.85546875" style="17" customWidth="1"/>
    <col min="1539" max="1539" width="22.140625" style="17" customWidth="1"/>
    <col min="1540" max="1551" width="29.140625" style="17" customWidth="1"/>
    <col min="1552" max="1552" width="18.85546875" style="17" bestFit="1" customWidth="1"/>
    <col min="1553" max="1553" width="16.7109375" style="17" bestFit="1" customWidth="1"/>
    <col min="1554" max="1554" width="14.85546875" style="17" bestFit="1" customWidth="1"/>
    <col min="1555" max="1555" width="13.5703125" style="17" bestFit="1" customWidth="1"/>
    <col min="1556" max="1556" width="6" style="17" bestFit="1" customWidth="1"/>
    <col min="1557" max="1557" width="32.42578125" style="17" customWidth="1"/>
    <col min="1558" max="1573" width="12.140625" style="17" customWidth="1"/>
    <col min="1574" max="1788" width="11.42578125" style="17"/>
    <col min="1789" max="1792" width="24.140625" style="17" customWidth="1"/>
    <col min="1793" max="1793" width="22.140625" style="17" customWidth="1"/>
    <col min="1794" max="1794" width="24.85546875" style="17" customWidth="1"/>
    <col min="1795" max="1795" width="22.140625" style="17" customWidth="1"/>
    <col min="1796" max="1807" width="29.140625" style="17" customWidth="1"/>
    <col min="1808" max="1808" width="18.85546875" style="17" bestFit="1" customWidth="1"/>
    <col min="1809" max="1809" width="16.7109375" style="17" bestFit="1" customWidth="1"/>
    <col min="1810" max="1810" width="14.85546875" style="17" bestFit="1" customWidth="1"/>
    <col min="1811" max="1811" width="13.5703125" style="17" bestFit="1" customWidth="1"/>
    <col min="1812" max="1812" width="6" style="17" bestFit="1" customWidth="1"/>
    <col min="1813" max="1813" width="32.42578125" style="17" customWidth="1"/>
    <col min="1814" max="1829" width="12.140625" style="17" customWidth="1"/>
    <col min="1830" max="2044" width="11.42578125" style="17"/>
    <col min="2045" max="2048" width="24.140625" style="17" customWidth="1"/>
    <col min="2049" max="2049" width="22.140625" style="17" customWidth="1"/>
    <col min="2050" max="2050" width="24.85546875" style="17" customWidth="1"/>
    <col min="2051" max="2051" width="22.140625" style="17" customWidth="1"/>
    <col min="2052" max="2063" width="29.140625" style="17" customWidth="1"/>
    <col min="2064" max="2064" width="18.85546875" style="17" bestFit="1" customWidth="1"/>
    <col min="2065" max="2065" width="16.7109375" style="17" bestFit="1" customWidth="1"/>
    <col min="2066" max="2066" width="14.85546875" style="17" bestFit="1" customWidth="1"/>
    <col min="2067" max="2067" width="13.5703125" style="17" bestFit="1" customWidth="1"/>
    <col min="2068" max="2068" width="6" style="17" bestFit="1" customWidth="1"/>
    <col min="2069" max="2069" width="32.42578125" style="17" customWidth="1"/>
    <col min="2070" max="2085" width="12.140625" style="17" customWidth="1"/>
    <col min="2086" max="2300" width="11.42578125" style="17"/>
    <col min="2301" max="2304" width="24.140625" style="17" customWidth="1"/>
    <col min="2305" max="2305" width="22.140625" style="17" customWidth="1"/>
    <col min="2306" max="2306" width="24.85546875" style="17" customWidth="1"/>
    <col min="2307" max="2307" width="22.140625" style="17" customWidth="1"/>
    <col min="2308" max="2319" width="29.140625" style="17" customWidth="1"/>
    <col min="2320" max="2320" width="18.85546875" style="17" bestFit="1" customWidth="1"/>
    <col min="2321" max="2321" width="16.7109375" style="17" bestFit="1" customWidth="1"/>
    <col min="2322" max="2322" width="14.85546875" style="17" bestFit="1" customWidth="1"/>
    <col min="2323" max="2323" width="13.5703125" style="17" bestFit="1" customWidth="1"/>
    <col min="2324" max="2324" width="6" style="17" bestFit="1" customWidth="1"/>
    <col min="2325" max="2325" width="32.42578125" style="17" customWidth="1"/>
    <col min="2326" max="2341" width="12.140625" style="17" customWidth="1"/>
    <col min="2342" max="2556" width="11.42578125" style="17"/>
    <col min="2557" max="2560" width="24.140625" style="17" customWidth="1"/>
    <col min="2561" max="2561" width="22.140625" style="17" customWidth="1"/>
    <col min="2562" max="2562" width="24.85546875" style="17" customWidth="1"/>
    <col min="2563" max="2563" width="22.140625" style="17" customWidth="1"/>
    <col min="2564" max="2575" width="29.140625" style="17" customWidth="1"/>
    <col min="2576" max="2576" width="18.85546875" style="17" bestFit="1" customWidth="1"/>
    <col min="2577" max="2577" width="16.7109375" style="17" bestFit="1" customWidth="1"/>
    <col min="2578" max="2578" width="14.85546875" style="17" bestFit="1" customWidth="1"/>
    <col min="2579" max="2579" width="13.5703125" style="17" bestFit="1" customWidth="1"/>
    <col min="2580" max="2580" width="6" style="17" bestFit="1" customWidth="1"/>
    <col min="2581" max="2581" width="32.42578125" style="17" customWidth="1"/>
    <col min="2582" max="2597" width="12.140625" style="17" customWidth="1"/>
    <col min="2598" max="2812" width="11.42578125" style="17"/>
    <col min="2813" max="2816" width="24.140625" style="17" customWidth="1"/>
    <col min="2817" max="2817" width="22.140625" style="17" customWidth="1"/>
    <col min="2818" max="2818" width="24.85546875" style="17" customWidth="1"/>
    <col min="2819" max="2819" width="22.140625" style="17" customWidth="1"/>
    <col min="2820" max="2831" width="29.140625" style="17" customWidth="1"/>
    <col min="2832" max="2832" width="18.85546875" style="17" bestFit="1" customWidth="1"/>
    <col min="2833" max="2833" width="16.7109375" style="17" bestFit="1" customWidth="1"/>
    <col min="2834" max="2834" width="14.85546875" style="17" bestFit="1" customWidth="1"/>
    <col min="2835" max="2835" width="13.5703125" style="17" bestFit="1" customWidth="1"/>
    <col min="2836" max="2836" width="6" style="17" bestFit="1" customWidth="1"/>
    <col min="2837" max="2837" width="32.42578125" style="17" customWidth="1"/>
    <col min="2838" max="2853" width="12.140625" style="17" customWidth="1"/>
    <col min="2854" max="3068" width="11.42578125" style="17"/>
    <col min="3069" max="3072" width="24.140625" style="17" customWidth="1"/>
    <col min="3073" max="3073" width="22.140625" style="17" customWidth="1"/>
    <col min="3074" max="3074" width="24.85546875" style="17" customWidth="1"/>
    <col min="3075" max="3075" width="22.140625" style="17" customWidth="1"/>
    <col min="3076" max="3087" width="29.140625" style="17" customWidth="1"/>
    <col min="3088" max="3088" width="18.85546875" style="17" bestFit="1" customWidth="1"/>
    <col min="3089" max="3089" width="16.7109375" style="17" bestFit="1" customWidth="1"/>
    <col min="3090" max="3090" width="14.85546875" style="17" bestFit="1" customWidth="1"/>
    <col min="3091" max="3091" width="13.5703125" style="17" bestFit="1" customWidth="1"/>
    <col min="3092" max="3092" width="6" style="17" bestFit="1" customWidth="1"/>
    <col min="3093" max="3093" width="32.42578125" style="17" customWidth="1"/>
    <col min="3094" max="3109" width="12.140625" style="17" customWidth="1"/>
    <col min="3110" max="3324" width="11.42578125" style="17"/>
    <col min="3325" max="3328" width="24.140625" style="17" customWidth="1"/>
    <col min="3329" max="3329" width="22.140625" style="17" customWidth="1"/>
    <col min="3330" max="3330" width="24.85546875" style="17" customWidth="1"/>
    <col min="3331" max="3331" width="22.140625" style="17" customWidth="1"/>
    <col min="3332" max="3343" width="29.140625" style="17" customWidth="1"/>
    <col min="3344" max="3344" width="18.85546875" style="17" bestFit="1" customWidth="1"/>
    <col min="3345" max="3345" width="16.7109375" style="17" bestFit="1" customWidth="1"/>
    <col min="3346" max="3346" width="14.85546875" style="17" bestFit="1" customWidth="1"/>
    <col min="3347" max="3347" width="13.5703125" style="17" bestFit="1" customWidth="1"/>
    <col min="3348" max="3348" width="6" style="17" bestFit="1" customWidth="1"/>
    <col min="3349" max="3349" width="32.42578125" style="17" customWidth="1"/>
    <col min="3350" max="3365" width="12.140625" style="17" customWidth="1"/>
    <col min="3366" max="3580" width="11.42578125" style="17"/>
    <col min="3581" max="3584" width="24.140625" style="17" customWidth="1"/>
    <col min="3585" max="3585" width="22.140625" style="17" customWidth="1"/>
    <col min="3586" max="3586" width="24.85546875" style="17" customWidth="1"/>
    <col min="3587" max="3587" width="22.140625" style="17" customWidth="1"/>
    <col min="3588" max="3599" width="29.140625" style="17" customWidth="1"/>
    <col min="3600" max="3600" width="18.85546875" style="17" bestFit="1" customWidth="1"/>
    <col min="3601" max="3601" width="16.7109375" style="17" bestFit="1" customWidth="1"/>
    <col min="3602" max="3602" width="14.85546875" style="17" bestFit="1" customWidth="1"/>
    <col min="3603" max="3603" width="13.5703125" style="17" bestFit="1" customWidth="1"/>
    <col min="3604" max="3604" width="6" style="17" bestFit="1" customWidth="1"/>
    <col min="3605" max="3605" width="32.42578125" style="17" customWidth="1"/>
    <col min="3606" max="3621" width="12.140625" style="17" customWidth="1"/>
    <col min="3622" max="3836" width="11.42578125" style="17"/>
    <col min="3837" max="3840" width="24.140625" style="17" customWidth="1"/>
    <col min="3841" max="3841" width="22.140625" style="17" customWidth="1"/>
    <col min="3842" max="3842" width="24.85546875" style="17" customWidth="1"/>
    <col min="3843" max="3843" width="22.140625" style="17" customWidth="1"/>
    <col min="3844" max="3855" width="29.140625" style="17" customWidth="1"/>
    <col min="3856" max="3856" width="18.85546875" style="17" bestFit="1" customWidth="1"/>
    <col min="3857" max="3857" width="16.7109375" style="17" bestFit="1" customWidth="1"/>
    <col min="3858" max="3858" width="14.85546875" style="17" bestFit="1" customWidth="1"/>
    <col min="3859" max="3859" width="13.5703125" style="17" bestFit="1" customWidth="1"/>
    <col min="3860" max="3860" width="6" style="17" bestFit="1" customWidth="1"/>
    <col min="3861" max="3861" width="32.42578125" style="17" customWidth="1"/>
    <col min="3862" max="3877" width="12.140625" style="17" customWidth="1"/>
    <col min="3878" max="4092" width="11.42578125" style="17"/>
    <col min="4093" max="4096" width="24.140625" style="17" customWidth="1"/>
    <col min="4097" max="4097" width="22.140625" style="17" customWidth="1"/>
    <col min="4098" max="4098" width="24.85546875" style="17" customWidth="1"/>
    <col min="4099" max="4099" width="22.140625" style="17" customWidth="1"/>
    <col min="4100" max="4111" width="29.140625" style="17" customWidth="1"/>
    <col min="4112" max="4112" width="18.85546875" style="17" bestFit="1" customWidth="1"/>
    <col min="4113" max="4113" width="16.7109375" style="17" bestFit="1" customWidth="1"/>
    <col min="4114" max="4114" width="14.85546875" style="17" bestFit="1" customWidth="1"/>
    <col min="4115" max="4115" width="13.5703125" style="17" bestFit="1" customWidth="1"/>
    <col min="4116" max="4116" width="6" style="17" bestFit="1" customWidth="1"/>
    <col min="4117" max="4117" width="32.42578125" style="17" customWidth="1"/>
    <col min="4118" max="4133" width="12.140625" style="17" customWidth="1"/>
    <col min="4134" max="4348" width="11.42578125" style="17"/>
    <col min="4349" max="4352" width="24.140625" style="17" customWidth="1"/>
    <col min="4353" max="4353" width="22.140625" style="17" customWidth="1"/>
    <col min="4354" max="4354" width="24.85546875" style="17" customWidth="1"/>
    <col min="4355" max="4355" width="22.140625" style="17" customWidth="1"/>
    <col min="4356" max="4367" width="29.140625" style="17" customWidth="1"/>
    <col min="4368" max="4368" width="18.85546875" style="17" bestFit="1" customWidth="1"/>
    <col min="4369" max="4369" width="16.7109375" style="17" bestFit="1" customWidth="1"/>
    <col min="4370" max="4370" width="14.85546875" style="17" bestFit="1" customWidth="1"/>
    <col min="4371" max="4371" width="13.5703125" style="17" bestFit="1" customWidth="1"/>
    <col min="4372" max="4372" width="6" style="17" bestFit="1" customWidth="1"/>
    <col min="4373" max="4373" width="32.42578125" style="17" customWidth="1"/>
    <col min="4374" max="4389" width="12.140625" style="17" customWidth="1"/>
    <col min="4390" max="4604" width="11.42578125" style="17"/>
    <col min="4605" max="4608" width="24.140625" style="17" customWidth="1"/>
    <col min="4609" max="4609" width="22.140625" style="17" customWidth="1"/>
    <col min="4610" max="4610" width="24.85546875" style="17" customWidth="1"/>
    <col min="4611" max="4611" width="22.140625" style="17" customWidth="1"/>
    <col min="4612" max="4623" width="29.140625" style="17" customWidth="1"/>
    <col min="4624" max="4624" width="18.85546875" style="17" bestFit="1" customWidth="1"/>
    <col min="4625" max="4625" width="16.7109375" style="17" bestFit="1" customWidth="1"/>
    <col min="4626" max="4626" width="14.85546875" style="17" bestFit="1" customWidth="1"/>
    <col min="4627" max="4627" width="13.5703125" style="17" bestFit="1" customWidth="1"/>
    <col min="4628" max="4628" width="6" style="17" bestFit="1" customWidth="1"/>
    <col min="4629" max="4629" width="32.42578125" style="17" customWidth="1"/>
    <col min="4630" max="4645" width="12.140625" style="17" customWidth="1"/>
    <col min="4646" max="4860" width="11.42578125" style="17"/>
    <col min="4861" max="4864" width="24.140625" style="17" customWidth="1"/>
    <col min="4865" max="4865" width="22.140625" style="17" customWidth="1"/>
    <col min="4866" max="4866" width="24.85546875" style="17" customWidth="1"/>
    <col min="4867" max="4867" width="22.140625" style="17" customWidth="1"/>
    <col min="4868" max="4879" width="29.140625" style="17" customWidth="1"/>
    <col min="4880" max="4880" width="18.85546875" style="17" bestFit="1" customWidth="1"/>
    <col min="4881" max="4881" width="16.7109375" style="17" bestFit="1" customWidth="1"/>
    <col min="4882" max="4882" width="14.85546875" style="17" bestFit="1" customWidth="1"/>
    <col min="4883" max="4883" width="13.5703125" style="17" bestFit="1" customWidth="1"/>
    <col min="4884" max="4884" width="6" style="17" bestFit="1" customWidth="1"/>
    <col min="4885" max="4885" width="32.42578125" style="17" customWidth="1"/>
    <col min="4886" max="4901" width="12.140625" style="17" customWidth="1"/>
    <col min="4902" max="5116" width="11.42578125" style="17"/>
    <col min="5117" max="5120" width="24.140625" style="17" customWidth="1"/>
    <col min="5121" max="5121" width="22.140625" style="17" customWidth="1"/>
    <col min="5122" max="5122" width="24.85546875" style="17" customWidth="1"/>
    <col min="5123" max="5123" width="22.140625" style="17" customWidth="1"/>
    <col min="5124" max="5135" width="29.140625" style="17" customWidth="1"/>
    <col min="5136" max="5136" width="18.85546875" style="17" bestFit="1" customWidth="1"/>
    <col min="5137" max="5137" width="16.7109375" style="17" bestFit="1" customWidth="1"/>
    <col min="5138" max="5138" width="14.85546875" style="17" bestFit="1" customWidth="1"/>
    <col min="5139" max="5139" width="13.5703125" style="17" bestFit="1" customWidth="1"/>
    <col min="5140" max="5140" width="6" style="17" bestFit="1" customWidth="1"/>
    <col min="5141" max="5141" width="32.42578125" style="17" customWidth="1"/>
    <col min="5142" max="5157" width="12.140625" style="17" customWidth="1"/>
    <col min="5158" max="5372" width="11.42578125" style="17"/>
    <col min="5373" max="5376" width="24.140625" style="17" customWidth="1"/>
    <col min="5377" max="5377" width="22.140625" style="17" customWidth="1"/>
    <col min="5378" max="5378" width="24.85546875" style="17" customWidth="1"/>
    <col min="5379" max="5379" width="22.140625" style="17" customWidth="1"/>
    <col min="5380" max="5391" width="29.140625" style="17" customWidth="1"/>
    <col min="5392" max="5392" width="18.85546875" style="17" bestFit="1" customWidth="1"/>
    <col min="5393" max="5393" width="16.7109375" style="17" bestFit="1" customWidth="1"/>
    <col min="5394" max="5394" width="14.85546875" style="17" bestFit="1" customWidth="1"/>
    <col min="5395" max="5395" width="13.5703125" style="17" bestFit="1" customWidth="1"/>
    <col min="5396" max="5396" width="6" style="17" bestFit="1" customWidth="1"/>
    <col min="5397" max="5397" width="32.42578125" style="17" customWidth="1"/>
    <col min="5398" max="5413" width="12.140625" style="17" customWidth="1"/>
    <col min="5414" max="5628" width="11.42578125" style="17"/>
    <col min="5629" max="5632" width="24.140625" style="17" customWidth="1"/>
    <col min="5633" max="5633" width="22.140625" style="17" customWidth="1"/>
    <col min="5634" max="5634" width="24.85546875" style="17" customWidth="1"/>
    <col min="5635" max="5635" width="22.140625" style="17" customWidth="1"/>
    <col min="5636" max="5647" width="29.140625" style="17" customWidth="1"/>
    <col min="5648" max="5648" width="18.85546875" style="17" bestFit="1" customWidth="1"/>
    <col min="5649" max="5649" width="16.7109375" style="17" bestFit="1" customWidth="1"/>
    <col min="5650" max="5650" width="14.85546875" style="17" bestFit="1" customWidth="1"/>
    <col min="5651" max="5651" width="13.5703125" style="17" bestFit="1" customWidth="1"/>
    <col min="5652" max="5652" width="6" style="17" bestFit="1" customWidth="1"/>
    <col min="5653" max="5653" width="32.42578125" style="17" customWidth="1"/>
    <col min="5654" max="5669" width="12.140625" style="17" customWidth="1"/>
    <col min="5670" max="5884" width="11.42578125" style="17"/>
    <col min="5885" max="5888" width="24.140625" style="17" customWidth="1"/>
    <col min="5889" max="5889" width="22.140625" style="17" customWidth="1"/>
    <col min="5890" max="5890" width="24.85546875" style="17" customWidth="1"/>
    <col min="5891" max="5891" width="22.140625" style="17" customWidth="1"/>
    <col min="5892" max="5903" width="29.140625" style="17" customWidth="1"/>
    <col min="5904" max="5904" width="18.85546875" style="17" bestFit="1" customWidth="1"/>
    <col min="5905" max="5905" width="16.7109375" style="17" bestFit="1" customWidth="1"/>
    <col min="5906" max="5906" width="14.85546875" style="17" bestFit="1" customWidth="1"/>
    <col min="5907" max="5907" width="13.5703125" style="17" bestFit="1" customWidth="1"/>
    <col min="5908" max="5908" width="6" style="17" bestFit="1" customWidth="1"/>
    <col min="5909" max="5909" width="32.42578125" style="17" customWidth="1"/>
    <col min="5910" max="5925" width="12.140625" style="17" customWidth="1"/>
    <col min="5926" max="6140" width="11.42578125" style="17"/>
    <col min="6141" max="6144" width="24.140625" style="17" customWidth="1"/>
    <col min="6145" max="6145" width="22.140625" style="17" customWidth="1"/>
    <col min="6146" max="6146" width="24.85546875" style="17" customWidth="1"/>
    <col min="6147" max="6147" width="22.140625" style="17" customWidth="1"/>
    <col min="6148" max="6159" width="29.140625" style="17" customWidth="1"/>
    <col min="6160" max="6160" width="18.85546875" style="17" bestFit="1" customWidth="1"/>
    <col min="6161" max="6161" width="16.7109375" style="17" bestFit="1" customWidth="1"/>
    <col min="6162" max="6162" width="14.85546875" style="17" bestFit="1" customWidth="1"/>
    <col min="6163" max="6163" width="13.5703125" style="17" bestFit="1" customWidth="1"/>
    <col min="6164" max="6164" width="6" style="17" bestFit="1" customWidth="1"/>
    <col min="6165" max="6165" width="32.42578125" style="17" customWidth="1"/>
    <col min="6166" max="6181" width="12.140625" style="17" customWidth="1"/>
    <col min="6182" max="6396" width="11.42578125" style="17"/>
    <col min="6397" max="6400" width="24.140625" style="17" customWidth="1"/>
    <col min="6401" max="6401" width="22.140625" style="17" customWidth="1"/>
    <col min="6402" max="6402" width="24.85546875" style="17" customWidth="1"/>
    <col min="6403" max="6403" width="22.140625" style="17" customWidth="1"/>
    <col min="6404" max="6415" width="29.140625" style="17" customWidth="1"/>
    <col min="6416" max="6416" width="18.85546875" style="17" bestFit="1" customWidth="1"/>
    <col min="6417" max="6417" width="16.7109375" style="17" bestFit="1" customWidth="1"/>
    <col min="6418" max="6418" width="14.85546875" style="17" bestFit="1" customWidth="1"/>
    <col min="6419" max="6419" width="13.5703125" style="17" bestFit="1" customWidth="1"/>
    <col min="6420" max="6420" width="6" style="17" bestFit="1" customWidth="1"/>
    <col min="6421" max="6421" width="32.42578125" style="17" customWidth="1"/>
    <col min="6422" max="6437" width="12.140625" style="17" customWidth="1"/>
    <col min="6438" max="6652" width="11.42578125" style="17"/>
    <col min="6653" max="6656" width="24.140625" style="17" customWidth="1"/>
    <col min="6657" max="6657" width="22.140625" style="17" customWidth="1"/>
    <col min="6658" max="6658" width="24.85546875" style="17" customWidth="1"/>
    <col min="6659" max="6659" width="22.140625" style="17" customWidth="1"/>
    <col min="6660" max="6671" width="29.140625" style="17" customWidth="1"/>
    <col min="6672" max="6672" width="18.85546875" style="17" bestFit="1" customWidth="1"/>
    <col min="6673" max="6673" width="16.7109375" style="17" bestFit="1" customWidth="1"/>
    <col min="6674" max="6674" width="14.85546875" style="17" bestFit="1" customWidth="1"/>
    <col min="6675" max="6675" width="13.5703125" style="17" bestFit="1" customWidth="1"/>
    <col min="6676" max="6676" width="6" style="17" bestFit="1" customWidth="1"/>
    <col min="6677" max="6677" width="32.42578125" style="17" customWidth="1"/>
    <col min="6678" max="6693" width="12.140625" style="17" customWidth="1"/>
    <col min="6694" max="6908" width="11.42578125" style="17"/>
    <col min="6909" max="6912" width="24.140625" style="17" customWidth="1"/>
    <col min="6913" max="6913" width="22.140625" style="17" customWidth="1"/>
    <col min="6914" max="6914" width="24.85546875" style="17" customWidth="1"/>
    <col min="6915" max="6915" width="22.140625" style="17" customWidth="1"/>
    <col min="6916" max="6927" width="29.140625" style="17" customWidth="1"/>
    <col min="6928" max="6928" width="18.85546875" style="17" bestFit="1" customWidth="1"/>
    <col min="6929" max="6929" width="16.7109375" style="17" bestFit="1" customWidth="1"/>
    <col min="6930" max="6930" width="14.85546875" style="17" bestFit="1" customWidth="1"/>
    <col min="6931" max="6931" width="13.5703125" style="17" bestFit="1" customWidth="1"/>
    <col min="6932" max="6932" width="6" style="17" bestFit="1" customWidth="1"/>
    <col min="6933" max="6933" width="32.42578125" style="17" customWidth="1"/>
    <col min="6934" max="6949" width="12.140625" style="17" customWidth="1"/>
    <col min="6950" max="7164" width="11.42578125" style="17"/>
    <col min="7165" max="7168" width="24.140625" style="17" customWidth="1"/>
    <col min="7169" max="7169" width="22.140625" style="17" customWidth="1"/>
    <col min="7170" max="7170" width="24.85546875" style="17" customWidth="1"/>
    <col min="7171" max="7171" width="22.140625" style="17" customWidth="1"/>
    <col min="7172" max="7183" width="29.140625" style="17" customWidth="1"/>
    <col min="7184" max="7184" width="18.85546875" style="17" bestFit="1" customWidth="1"/>
    <col min="7185" max="7185" width="16.7109375" style="17" bestFit="1" customWidth="1"/>
    <col min="7186" max="7186" width="14.85546875" style="17" bestFit="1" customWidth="1"/>
    <col min="7187" max="7187" width="13.5703125" style="17" bestFit="1" customWidth="1"/>
    <col min="7188" max="7188" width="6" style="17" bestFit="1" customWidth="1"/>
    <col min="7189" max="7189" width="32.42578125" style="17" customWidth="1"/>
    <col min="7190" max="7205" width="12.140625" style="17" customWidth="1"/>
    <col min="7206" max="7420" width="11.42578125" style="17"/>
    <col min="7421" max="7424" width="24.140625" style="17" customWidth="1"/>
    <col min="7425" max="7425" width="22.140625" style="17" customWidth="1"/>
    <col min="7426" max="7426" width="24.85546875" style="17" customWidth="1"/>
    <col min="7427" max="7427" width="22.140625" style="17" customWidth="1"/>
    <col min="7428" max="7439" width="29.140625" style="17" customWidth="1"/>
    <col min="7440" max="7440" width="18.85546875" style="17" bestFit="1" customWidth="1"/>
    <col min="7441" max="7441" width="16.7109375" style="17" bestFit="1" customWidth="1"/>
    <col min="7442" max="7442" width="14.85546875" style="17" bestFit="1" customWidth="1"/>
    <col min="7443" max="7443" width="13.5703125" style="17" bestFit="1" customWidth="1"/>
    <col min="7444" max="7444" width="6" style="17" bestFit="1" customWidth="1"/>
    <col min="7445" max="7445" width="32.42578125" style="17" customWidth="1"/>
    <col min="7446" max="7461" width="12.140625" style="17" customWidth="1"/>
    <col min="7462" max="7676" width="11.42578125" style="17"/>
    <col min="7677" max="7680" width="24.140625" style="17" customWidth="1"/>
    <col min="7681" max="7681" width="22.140625" style="17" customWidth="1"/>
    <col min="7682" max="7682" width="24.85546875" style="17" customWidth="1"/>
    <col min="7683" max="7683" width="22.140625" style="17" customWidth="1"/>
    <col min="7684" max="7695" width="29.140625" style="17" customWidth="1"/>
    <col min="7696" max="7696" width="18.85546875" style="17" bestFit="1" customWidth="1"/>
    <col min="7697" max="7697" width="16.7109375" style="17" bestFit="1" customWidth="1"/>
    <col min="7698" max="7698" width="14.85546875" style="17" bestFit="1" customWidth="1"/>
    <col min="7699" max="7699" width="13.5703125" style="17" bestFit="1" customWidth="1"/>
    <col min="7700" max="7700" width="6" style="17" bestFit="1" customWidth="1"/>
    <col min="7701" max="7701" width="32.42578125" style="17" customWidth="1"/>
    <col min="7702" max="7717" width="12.140625" style="17" customWidth="1"/>
    <col min="7718" max="7932" width="11.42578125" style="17"/>
    <col min="7933" max="7936" width="24.140625" style="17" customWidth="1"/>
    <col min="7937" max="7937" width="22.140625" style="17" customWidth="1"/>
    <col min="7938" max="7938" width="24.85546875" style="17" customWidth="1"/>
    <col min="7939" max="7939" width="22.140625" style="17" customWidth="1"/>
    <col min="7940" max="7951" width="29.140625" style="17" customWidth="1"/>
    <col min="7952" max="7952" width="18.85546875" style="17" bestFit="1" customWidth="1"/>
    <col min="7953" max="7953" width="16.7109375" style="17" bestFit="1" customWidth="1"/>
    <col min="7954" max="7954" width="14.85546875" style="17" bestFit="1" customWidth="1"/>
    <col min="7955" max="7955" width="13.5703125" style="17" bestFit="1" customWidth="1"/>
    <col min="7956" max="7956" width="6" style="17" bestFit="1" customWidth="1"/>
    <col min="7957" max="7957" width="32.42578125" style="17" customWidth="1"/>
    <col min="7958" max="7973" width="12.140625" style="17" customWidth="1"/>
    <col min="7974" max="8188" width="11.42578125" style="17"/>
    <col min="8189" max="8192" width="24.140625" style="17" customWidth="1"/>
    <col min="8193" max="8193" width="22.140625" style="17" customWidth="1"/>
    <col min="8194" max="8194" width="24.85546875" style="17" customWidth="1"/>
    <col min="8195" max="8195" width="22.140625" style="17" customWidth="1"/>
    <col min="8196" max="8207" width="29.140625" style="17" customWidth="1"/>
    <col min="8208" max="8208" width="18.85546875" style="17" bestFit="1" customWidth="1"/>
    <col min="8209" max="8209" width="16.7109375" style="17" bestFit="1" customWidth="1"/>
    <col min="8210" max="8210" width="14.85546875" style="17" bestFit="1" customWidth="1"/>
    <col min="8211" max="8211" width="13.5703125" style="17" bestFit="1" customWidth="1"/>
    <col min="8212" max="8212" width="6" style="17" bestFit="1" customWidth="1"/>
    <col min="8213" max="8213" width="32.42578125" style="17" customWidth="1"/>
    <col min="8214" max="8229" width="12.140625" style="17" customWidth="1"/>
    <col min="8230" max="8444" width="11.42578125" style="17"/>
    <col min="8445" max="8448" width="24.140625" style="17" customWidth="1"/>
    <col min="8449" max="8449" width="22.140625" style="17" customWidth="1"/>
    <col min="8450" max="8450" width="24.85546875" style="17" customWidth="1"/>
    <col min="8451" max="8451" width="22.140625" style="17" customWidth="1"/>
    <col min="8452" max="8463" width="29.140625" style="17" customWidth="1"/>
    <col min="8464" max="8464" width="18.85546875" style="17" bestFit="1" customWidth="1"/>
    <col min="8465" max="8465" width="16.7109375" style="17" bestFit="1" customWidth="1"/>
    <col min="8466" max="8466" width="14.85546875" style="17" bestFit="1" customWidth="1"/>
    <col min="8467" max="8467" width="13.5703125" style="17" bestFit="1" customWidth="1"/>
    <col min="8468" max="8468" width="6" style="17" bestFit="1" customWidth="1"/>
    <col min="8469" max="8469" width="32.42578125" style="17" customWidth="1"/>
    <col min="8470" max="8485" width="12.140625" style="17" customWidth="1"/>
    <col min="8486" max="8700" width="11.42578125" style="17"/>
    <col min="8701" max="8704" width="24.140625" style="17" customWidth="1"/>
    <col min="8705" max="8705" width="22.140625" style="17" customWidth="1"/>
    <col min="8706" max="8706" width="24.85546875" style="17" customWidth="1"/>
    <col min="8707" max="8707" width="22.140625" style="17" customWidth="1"/>
    <col min="8708" max="8719" width="29.140625" style="17" customWidth="1"/>
    <col min="8720" max="8720" width="18.85546875" style="17" bestFit="1" customWidth="1"/>
    <col min="8721" max="8721" width="16.7109375" style="17" bestFit="1" customWidth="1"/>
    <col min="8722" max="8722" width="14.85546875" style="17" bestFit="1" customWidth="1"/>
    <col min="8723" max="8723" width="13.5703125" style="17" bestFit="1" customWidth="1"/>
    <col min="8724" max="8724" width="6" style="17" bestFit="1" customWidth="1"/>
    <col min="8725" max="8725" width="32.42578125" style="17" customWidth="1"/>
    <col min="8726" max="8741" width="12.140625" style="17" customWidth="1"/>
    <col min="8742" max="8956" width="11.42578125" style="17"/>
    <col min="8957" max="8960" width="24.140625" style="17" customWidth="1"/>
    <col min="8961" max="8961" width="22.140625" style="17" customWidth="1"/>
    <col min="8962" max="8962" width="24.85546875" style="17" customWidth="1"/>
    <col min="8963" max="8963" width="22.140625" style="17" customWidth="1"/>
    <col min="8964" max="8975" width="29.140625" style="17" customWidth="1"/>
    <col min="8976" max="8976" width="18.85546875" style="17" bestFit="1" customWidth="1"/>
    <col min="8977" max="8977" width="16.7109375" style="17" bestFit="1" customWidth="1"/>
    <col min="8978" max="8978" width="14.85546875" style="17" bestFit="1" customWidth="1"/>
    <col min="8979" max="8979" width="13.5703125" style="17" bestFit="1" customWidth="1"/>
    <col min="8980" max="8980" width="6" style="17" bestFit="1" customWidth="1"/>
    <col min="8981" max="8981" width="32.42578125" style="17" customWidth="1"/>
    <col min="8982" max="8997" width="12.140625" style="17" customWidth="1"/>
    <col min="8998" max="9212" width="11.42578125" style="17"/>
    <col min="9213" max="9216" width="24.140625" style="17" customWidth="1"/>
    <col min="9217" max="9217" width="22.140625" style="17" customWidth="1"/>
    <col min="9218" max="9218" width="24.85546875" style="17" customWidth="1"/>
    <col min="9219" max="9219" width="22.140625" style="17" customWidth="1"/>
    <col min="9220" max="9231" width="29.140625" style="17" customWidth="1"/>
    <col min="9232" max="9232" width="18.85546875" style="17" bestFit="1" customWidth="1"/>
    <col min="9233" max="9233" width="16.7109375" style="17" bestFit="1" customWidth="1"/>
    <col min="9234" max="9234" width="14.85546875" style="17" bestFit="1" customWidth="1"/>
    <col min="9235" max="9235" width="13.5703125" style="17" bestFit="1" customWidth="1"/>
    <col min="9236" max="9236" width="6" style="17" bestFit="1" customWidth="1"/>
    <col min="9237" max="9237" width="32.42578125" style="17" customWidth="1"/>
    <col min="9238" max="9253" width="12.140625" style="17" customWidth="1"/>
    <col min="9254" max="9468" width="11.42578125" style="17"/>
    <col min="9469" max="9472" width="24.140625" style="17" customWidth="1"/>
    <col min="9473" max="9473" width="22.140625" style="17" customWidth="1"/>
    <col min="9474" max="9474" width="24.85546875" style="17" customWidth="1"/>
    <col min="9475" max="9475" width="22.140625" style="17" customWidth="1"/>
    <col min="9476" max="9487" width="29.140625" style="17" customWidth="1"/>
    <col min="9488" max="9488" width="18.85546875" style="17" bestFit="1" customWidth="1"/>
    <col min="9489" max="9489" width="16.7109375" style="17" bestFit="1" customWidth="1"/>
    <col min="9490" max="9490" width="14.85546875" style="17" bestFit="1" customWidth="1"/>
    <col min="9491" max="9491" width="13.5703125" style="17" bestFit="1" customWidth="1"/>
    <col min="9492" max="9492" width="6" style="17" bestFit="1" customWidth="1"/>
    <col min="9493" max="9493" width="32.42578125" style="17" customWidth="1"/>
    <col min="9494" max="9509" width="12.140625" style="17" customWidth="1"/>
    <col min="9510" max="9724" width="11.42578125" style="17"/>
    <col min="9725" max="9728" width="24.140625" style="17" customWidth="1"/>
    <col min="9729" max="9729" width="22.140625" style="17" customWidth="1"/>
    <col min="9730" max="9730" width="24.85546875" style="17" customWidth="1"/>
    <col min="9731" max="9731" width="22.140625" style="17" customWidth="1"/>
    <col min="9732" max="9743" width="29.140625" style="17" customWidth="1"/>
    <col min="9744" max="9744" width="18.85546875" style="17" bestFit="1" customWidth="1"/>
    <col min="9745" max="9745" width="16.7109375" style="17" bestFit="1" customWidth="1"/>
    <col min="9746" max="9746" width="14.85546875" style="17" bestFit="1" customWidth="1"/>
    <col min="9747" max="9747" width="13.5703125" style="17" bestFit="1" customWidth="1"/>
    <col min="9748" max="9748" width="6" style="17" bestFit="1" customWidth="1"/>
    <col min="9749" max="9749" width="32.42578125" style="17" customWidth="1"/>
    <col min="9750" max="9765" width="12.140625" style="17" customWidth="1"/>
    <col min="9766" max="9980" width="11.42578125" style="17"/>
    <col min="9981" max="9984" width="24.140625" style="17" customWidth="1"/>
    <col min="9985" max="9985" width="22.140625" style="17" customWidth="1"/>
    <col min="9986" max="9986" width="24.85546875" style="17" customWidth="1"/>
    <col min="9987" max="9987" width="22.140625" style="17" customWidth="1"/>
    <col min="9988" max="9999" width="29.140625" style="17" customWidth="1"/>
    <col min="10000" max="10000" width="18.85546875" style="17" bestFit="1" customWidth="1"/>
    <col min="10001" max="10001" width="16.7109375" style="17" bestFit="1" customWidth="1"/>
    <col min="10002" max="10002" width="14.85546875" style="17" bestFit="1" customWidth="1"/>
    <col min="10003" max="10003" width="13.5703125" style="17" bestFit="1" customWidth="1"/>
    <col min="10004" max="10004" width="6" style="17" bestFit="1" customWidth="1"/>
    <col min="10005" max="10005" width="32.42578125" style="17" customWidth="1"/>
    <col min="10006" max="10021" width="12.140625" style="17" customWidth="1"/>
    <col min="10022" max="10236" width="11.42578125" style="17"/>
    <col min="10237" max="10240" width="24.140625" style="17" customWidth="1"/>
    <col min="10241" max="10241" width="22.140625" style="17" customWidth="1"/>
    <col min="10242" max="10242" width="24.85546875" style="17" customWidth="1"/>
    <col min="10243" max="10243" width="22.140625" style="17" customWidth="1"/>
    <col min="10244" max="10255" width="29.140625" style="17" customWidth="1"/>
    <col min="10256" max="10256" width="18.85546875" style="17" bestFit="1" customWidth="1"/>
    <col min="10257" max="10257" width="16.7109375" style="17" bestFit="1" customWidth="1"/>
    <col min="10258" max="10258" width="14.85546875" style="17" bestFit="1" customWidth="1"/>
    <col min="10259" max="10259" width="13.5703125" style="17" bestFit="1" customWidth="1"/>
    <col min="10260" max="10260" width="6" style="17" bestFit="1" customWidth="1"/>
    <col min="10261" max="10261" width="32.42578125" style="17" customWidth="1"/>
    <col min="10262" max="10277" width="12.140625" style="17" customWidth="1"/>
    <col min="10278" max="10492" width="11.42578125" style="17"/>
    <col min="10493" max="10496" width="24.140625" style="17" customWidth="1"/>
    <col min="10497" max="10497" width="22.140625" style="17" customWidth="1"/>
    <col min="10498" max="10498" width="24.85546875" style="17" customWidth="1"/>
    <col min="10499" max="10499" width="22.140625" style="17" customWidth="1"/>
    <col min="10500" max="10511" width="29.140625" style="17" customWidth="1"/>
    <col min="10512" max="10512" width="18.85546875" style="17" bestFit="1" customWidth="1"/>
    <col min="10513" max="10513" width="16.7109375" style="17" bestFit="1" customWidth="1"/>
    <col min="10514" max="10514" width="14.85546875" style="17" bestFit="1" customWidth="1"/>
    <col min="10515" max="10515" width="13.5703125" style="17" bestFit="1" customWidth="1"/>
    <col min="10516" max="10516" width="6" style="17" bestFit="1" customWidth="1"/>
    <col min="10517" max="10517" width="32.42578125" style="17" customWidth="1"/>
    <col min="10518" max="10533" width="12.140625" style="17" customWidth="1"/>
    <col min="10534" max="10748" width="11.42578125" style="17"/>
    <col min="10749" max="10752" width="24.140625" style="17" customWidth="1"/>
    <col min="10753" max="10753" width="22.140625" style="17" customWidth="1"/>
    <col min="10754" max="10754" width="24.85546875" style="17" customWidth="1"/>
    <col min="10755" max="10755" width="22.140625" style="17" customWidth="1"/>
    <col min="10756" max="10767" width="29.140625" style="17" customWidth="1"/>
    <col min="10768" max="10768" width="18.85546875" style="17" bestFit="1" customWidth="1"/>
    <col min="10769" max="10769" width="16.7109375" style="17" bestFit="1" customWidth="1"/>
    <col min="10770" max="10770" width="14.85546875" style="17" bestFit="1" customWidth="1"/>
    <col min="10771" max="10771" width="13.5703125" style="17" bestFit="1" customWidth="1"/>
    <col min="10772" max="10772" width="6" style="17" bestFit="1" customWidth="1"/>
    <col min="10773" max="10773" width="32.42578125" style="17" customWidth="1"/>
    <col min="10774" max="10789" width="12.140625" style="17" customWidth="1"/>
    <col min="10790" max="11004" width="11.42578125" style="17"/>
    <col min="11005" max="11008" width="24.140625" style="17" customWidth="1"/>
    <col min="11009" max="11009" width="22.140625" style="17" customWidth="1"/>
    <col min="11010" max="11010" width="24.85546875" style="17" customWidth="1"/>
    <col min="11011" max="11011" width="22.140625" style="17" customWidth="1"/>
    <col min="11012" max="11023" width="29.140625" style="17" customWidth="1"/>
    <col min="11024" max="11024" width="18.85546875" style="17" bestFit="1" customWidth="1"/>
    <col min="11025" max="11025" width="16.7109375" style="17" bestFit="1" customWidth="1"/>
    <col min="11026" max="11026" width="14.85546875" style="17" bestFit="1" customWidth="1"/>
    <col min="11027" max="11027" width="13.5703125" style="17" bestFit="1" customWidth="1"/>
    <col min="11028" max="11028" width="6" style="17" bestFit="1" customWidth="1"/>
    <col min="11029" max="11029" width="32.42578125" style="17" customWidth="1"/>
    <col min="11030" max="11045" width="12.140625" style="17" customWidth="1"/>
    <col min="11046" max="11260" width="11.42578125" style="17"/>
    <col min="11261" max="11264" width="24.140625" style="17" customWidth="1"/>
    <col min="11265" max="11265" width="22.140625" style="17" customWidth="1"/>
    <col min="11266" max="11266" width="24.85546875" style="17" customWidth="1"/>
    <col min="11267" max="11267" width="22.140625" style="17" customWidth="1"/>
    <col min="11268" max="11279" width="29.140625" style="17" customWidth="1"/>
    <col min="11280" max="11280" width="18.85546875" style="17" bestFit="1" customWidth="1"/>
    <col min="11281" max="11281" width="16.7109375" style="17" bestFit="1" customWidth="1"/>
    <col min="11282" max="11282" width="14.85546875" style="17" bestFit="1" customWidth="1"/>
    <col min="11283" max="11283" width="13.5703125" style="17" bestFit="1" customWidth="1"/>
    <col min="11284" max="11284" width="6" style="17" bestFit="1" customWidth="1"/>
    <col min="11285" max="11285" width="32.42578125" style="17" customWidth="1"/>
    <col min="11286" max="11301" width="12.140625" style="17" customWidth="1"/>
    <col min="11302" max="11516" width="11.42578125" style="17"/>
    <col min="11517" max="11520" width="24.140625" style="17" customWidth="1"/>
    <col min="11521" max="11521" width="22.140625" style="17" customWidth="1"/>
    <col min="11522" max="11522" width="24.85546875" style="17" customWidth="1"/>
    <col min="11523" max="11523" width="22.140625" style="17" customWidth="1"/>
    <col min="11524" max="11535" width="29.140625" style="17" customWidth="1"/>
    <col min="11536" max="11536" width="18.85546875" style="17" bestFit="1" customWidth="1"/>
    <col min="11537" max="11537" width="16.7109375" style="17" bestFit="1" customWidth="1"/>
    <col min="11538" max="11538" width="14.85546875" style="17" bestFit="1" customWidth="1"/>
    <col min="11539" max="11539" width="13.5703125" style="17" bestFit="1" customWidth="1"/>
    <col min="11540" max="11540" width="6" style="17" bestFit="1" customWidth="1"/>
    <col min="11541" max="11541" width="32.42578125" style="17" customWidth="1"/>
    <col min="11542" max="11557" width="12.140625" style="17" customWidth="1"/>
    <col min="11558" max="11772" width="11.42578125" style="17"/>
    <col min="11773" max="11776" width="24.140625" style="17" customWidth="1"/>
    <col min="11777" max="11777" width="22.140625" style="17" customWidth="1"/>
    <col min="11778" max="11778" width="24.85546875" style="17" customWidth="1"/>
    <col min="11779" max="11779" width="22.140625" style="17" customWidth="1"/>
    <col min="11780" max="11791" width="29.140625" style="17" customWidth="1"/>
    <col min="11792" max="11792" width="18.85546875" style="17" bestFit="1" customWidth="1"/>
    <col min="11793" max="11793" width="16.7109375" style="17" bestFit="1" customWidth="1"/>
    <col min="11794" max="11794" width="14.85546875" style="17" bestFit="1" customWidth="1"/>
    <col min="11795" max="11795" width="13.5703125" style="17" bestFit="1" customWidth="1"/>
    <col min="11796" max="11796" width="6" style="17" bestFit="1" customWidth="1"/>
    <col min="11797" max="11797" width="32.42578125" style="17" customWidth="1"/>
    <col min="11798" max="11813" width="12.140625" style="17" customWidth="1"/>
    <col min="11814" max="12028" width="11.42578125" style="17"/>
    <col min="12029" max="12032" width="24.140625" style="17" customWidth="1"/>
    <col min="12033" max="12033" width="22.140625" style="17" customWidth="1"/>
    <col min="12034" max="12034" width="24.85546875" style="17" customWidth="1"/>
    <col min="12035" max="12035" width="22.140625" style="17" customWidth="1"/>
    <col min="12036" max="12047" width="29.140625" style="17" customWidth="1"/>
    <col min="12048" max="12048" width="18.85546875" style="17" bestFit="1" customWidth="1"/>
    <col min="12049" max="12049" width="16.7109375" style="17" bestFit="1" customWidth="1"/>
    <col min="12050" max="12050" width="14.85546875" style="17" bestFit="1" customWidth="1"/>
    <col min="12051" max="12051" width="13.5703125" style="17" bestFit="1" customWidth="1"/>
    <col min="12052" max="12052" width="6" style="17" bestFit="1" customWidth="1"/>
    <col min="12053" max="12053" width="32.42578125" style="17" customWidth="1"/>
    <col min="12054" max="12069" width="12.140625" style="17" customWidth="1"/>
    <col min="12070" max="12284" width="11.42578125" style="17"/>
    <col min="12285" max="12288" width="24.140625" style="17" customWidth="1"/>
    <col min="12289" max="12289" width="22.140625" style="17" customWidth="1"/>
    <col min="12290" max="12290" width="24.85546875" style="17" customWidth="1"/>
    <col min="12291" max="12291" width="22.140625" style="17" customWidth="1"/>
    <col min="12292" max="12303" width="29.140625" style="17" customWidth="1"/>
    <col min="12304" max="12304" width="18.85546875" style="17" bestFit="1" customWidth="1"/>
    <col min="12305" max="12305" width="16.7109375" style="17" bestFit="1" customWidth="1"/>
    <col min="12306" max="12306" width="14.85546875" style="17" bestFit="1" customWidth="1"/>
    <col min="12307" max="12307" width="13.5703125" style="17" bestFit="1" customWidth="1"/>
    <col min="12308" max="12308" width="6" style="17" bestFit="1" customWidth="1"/>
    <col min="12309" max="12309" width="32.42578125" style="17" customWidth="1"/>
    <col min="12310" max="12325" width="12.140625" style="17" customWidth="1"/>
    <col min="12326" max="12540" width="11.42578125" style="17"/>
    <col min="12541" max="12544" width="24.140625" style="17" customWidth="1"/>
    <col min="12545" max="12545" width="22.140625" style="17" customWidth="1"/>
    <col min="12546" max="12546" width="24.85546875" style="17" customWidth="1"/>
    <col min="12547" max="12547" width="22.140625" style="17" customWidth="1"/>
    <col min="12548" max="12559" width="29.140625" style="17" customWidth="1"/>
    <col min="12560" max="12560" width="18.85546875" style="17" bestFit="1" customWidth="1"/>
    <col min="12561" max="12561" width="16.7109375" style="17" bestFit="1" customWidth="1"/>
    <col min="12562" max="12562" width="14.85546875" style="17" bestFit="1" customWidth="1"/>
    <col min="12563" max="12563" width="13.5703125" style="17" bestFit="1" customWidth="1"/>
    <col min="12564" max="12564" width="6" style="17" bestFit="1" customWidth="1"/>
    <col min="12565" max="12565" width="32.42578125" style="17" customWidth="1"/>
    <col min="12566" max="12581" width="12.140625" style="17" customWidth="1"/>
    <col min="12582" max="12796" width="11.42578125" style="17"/>
    <col min="12797" max="12800" width="24.140625" style="17" customWidth="1"/>
    <col min="12801" max="12801" width="22.140625" style="17" customWidth="1"/>
    <col min="12802" max="12802" width="24.85546875" style="17" customWidth="1"/>
    <col min="12803" max="12803" width="22.140625" style="17" customWidth="1"/>
    <col min="12804" max="12815" width="29.140625" style="17" customWidth="1"/>
    <col min="12816" max="12816" width="18.85546875" style="17" bestFit="1" customWidth="1"/>
    <col min="12817" max="12817" width="16.7109375" style="17" bestFit="1" customWidth="1"/>
    <col min="12818" max="12818" width="14.85546875" style="17" bestFit="1" customWidth="1"/>
    <col min="12819" max="12819" width="13.5703125" style="17" bestFit="1" customWidth="1"/>
    <col min="12820" max="12820" width="6" style="17" bestFit="1" customWidth="1"/>
    <col min="12821" max="12821" width="32.42578125" style="17" customWidth="1"/>
    <col min="12822" max="12837" width="12.140625" style="17" customWidth="1"/>
    <col min="12838" max="13052" width="11.42578125" style="17"/>
    <col min="13053" max="13056" width="24.140625" style="17" customWidth="1"/>
    <col min="13057" max="13057" width="22.140625" style="17" customWidth="1"/>
    <col min="13058" max="13058" width="24.85546875" style="17" customWidth="1"/>
    <col min="13059" max="13059" width="22.140625" style="17" customWidth="1"/>
    <col min="13060" max="13071" width="29.140625" style="17" customWidth="1"/>
    <col min="13072" max="13072" width="18.85546875" style="17" bestFit="1" customWidth="1"/>
    <col min="13073" max="13073" width="16.7109375" style="17" bestFit="1" customWidth="1"/>
    <col min="13074" max="13074" width="14.85546875" style="17" bestFit="1" customWidth="1"/>
    <col min="13075" max="13075" width="13.5703125" style="17" bestFit="1" customWidth="1"/>
    <col min="13076" max="13076" width="6" style="17" bestFit="1" customWidth="1"/>
    <col min="13077" max="13077" width="32.42578125" style="17" customWidth="1"/>
    <col min="13078" max="13093" width="12.140625" style="17" customWidth="1"/>
    <col min="13094" max="13308" width="11.42578125" style="17"/>
    <col min="13309" max="13312" width="24.140625" style="17" customWidth="1"/>
    <col min="13313" max="13313" width="22.140625" style="17" customWidth="1"/>
    <col min="13314" max="13314" width="24.85546875" style="17" customWidth="1"/>
    <col min="13315" max="13315" width="22.140625" style="17" customWidth="1"/>
    <col min="13316" max="13327" width="29.140625" style="17" customWidth="1"/>
    <col min="13328" max="13328" width="18.85546875" style="17" bestFit="1" customWidth="1"/>
    <col min="13329" max="13329" width="16.7109375" style="17" bestFit="1" customWidth="1"/>
    <col min="13330" max="13330" width="14.85546875" style="17" bestFit="1" customWidth="1"/>
    <col min="13331" max="13331" width="13.5703125" style="17" bestFit="1" customWidth="1"/>
    <col min="13332" max="13332" width="6" style="17" bestFit="1" customWidth="1"/>
    <col min="13333" max="13333" width="32.42578125" style="17" customWidth="1"/>
    <col min="13334" max="13349" width="12.140625" style="17" customWidth="1"/>
    <col min="13350" max="13564" width="11.42578125" style="17"/>
    <col min="13565" max="13568" width="24.140625" style="17" customWidth="1"/>
    <col min="13569" max="13569" width="22.140625" style="17" customWidth="1"/>
    <col min="13570" max="13570" width="24.85546875" style="17" customWidth="1"/>
    <col min="13571" max="13571" width="22.140625" style="17" customWidth="1"/>
    <col min="13572" max="13583" width="29.140625" style="17" customWidth="1"/>
    <col min="13584" max="13584" width="18.85546875" style="17" bestFit="1" customWidth="1"/>
    <col min="13585" max="13585" width="16.7109375" style="17" bestFit="1" customWidth="1"/>
    <col min="13586" max="13586" width="14.85546875" style="17" bestFit="1" customWidth="1"/>
    <col min="13587" max="13587" width="13.5703125" style="17" bestFit="1" customWidth="1"/>
    <col min="13588" max="13588" width="6" style="17" bestFit="1" customWidth="1"/>
    <col min="13589" max="13589" width="32.42578125" style="17" customWidth="1"/>
    <col min="13590" max="13605" width="12.140625" style="17" customWidth="1"/>
    <col min="13606" max="13820" width="11.42578125" style="17"/>
    <col min="13821" max="13824" width="24.140625" style="17" customWidth="1"/>
    <col min="13825" max="13825" width="22.140625" style="17" customWidth="1"/>
    <col min="13826" max="13826" width="24.85546875" style="17" customWidth="1"/>
    <col min="13827" max="13827" width="22.140625" style="17" customWidth="1"/>
    <col min="13828" max="13839" width="29.140625" style="17" customWidth="1"/>
    <col min="13840" max="13840" width="18.85546875" style="17" bestFit="1" customWidth="1"/>
    <col min="13841" max="13841" width="16.7109375" style="17" bestFit="1" customWidth="1"/>
    <col min="13842" max="13842" width="14.85546875" style="17" bestFit="1" customWidth="1"/>
    <col min="13843" max="13843" width="13.5703125" style="17" bestFit="1" customWidth="1"/>
    <col min="13844" max="13844" width="6" style="17" bestFit="1" customWidth="1"/>
    <col min="13845" max="13845" width="32.42578125" style="17" customWidth="1"/>
    <col min="13846" max="13861" width="12.140625" style="17" customWidth="1"/>
    <col min="13862" max="14076" width="11.42578125" style="17"/>
    <col min="14077" max="14080" width="24.140625" style="17" customWidth="1"/>
    <col min="14081" max="14081" width="22.140625" style="17" customWidth="1"/>
    <col min="14082" max="14082" width="24.85546875" style="17" customWidth="1"/>
    <col min="14083" max="14083" width="22.140625" style="17" customWidth="1"/>
    <col min="14084" max="14095" width="29.140625" style="17" customWidth="1"/>
    <col min="14096" max="14096" width="18.85546875" style="17" bestFit="1" customWidth="1"/>
    <col min="14097" max="14097" width="16.7109375" style="17" bestFit="1" customWidth="1"/>
    <col min="14098" max="14098" width="14.85546875" style="17" bestFit="1" customWidth="1"/>
    <col min="14099" max="14099" width="13.5703125" style="17" bestFit="1" customWidth="1"/>
    <col min="14100" max="14100" width="6" style="17" bestFit="1" customWidth="1"/>
    <col min="14101" max="14101" width="32.42578125" style="17" customWidth="1"/>
    <col min="14102" max="14117" width="12.140625" style="17" customWidth="1"/>
    <col min="14118" max="14332" width="11.42578125" style="17"/>
    <col min="14333" max="14336" width="24.140625" style="17" customWidth="1"/>
    <col min="14337" max="14337" width="22.140625" style="17" customWidth="1"/>
    <col min="14338" max="14338" width="24.85546875" style="17" customWidth="1"/>
    <col min="14339" max="14339" width="22.140625" style="17" customWidth="1"/>
    <col min="14340" max="14351" width="29.140625" style="17" customWidth="1"/>
    <col min="14352" max="14352" width="18.85546875" style="17" bestFit="1" customWidth="1"/>
    <col min="14353" max="14353" width="16.7109375" style="17" bestFit="1" customWidth="1"/>
    <col min="14354" max="14354" width="14.85546875" style="17" bestFit="1" customWidth="1"/>
    <col min="14355" max="14355" width="13.5703125" style="17" bestFit="1" customWidth="1"/>
    <col min="14356" max="14356" width="6" style="17" bestFit="1" customWidth="1"/>
    <col min="14357" max="14357" width="32.42578125" style="17" customWidth="1"/>
    <col min="14358" max="14373" width="12.140625" style="17" customWidth="1"/>
    <col min="14374" max="14588" width="11.42578125" style="17"/>
    <col min="14589" max="14592" width="24.140625" style="17" customWidth="1"/>
    <col min="14593" max="14593" width="22.140625" style="17" customWidth="1"/>
    <col min="14594" max="14594" width="24.85546875" style="17" customWidth="1"/>
    <col min="14595" max="14595" width="22.140625" style="17" customWidth="1"/>
    <col min="14596" max="14607" width="29.140625" style="17" customWidth="1"/>
    <col min="14608" max="14608" width="18.85546875" style="17" bestFit="1" customWidth="1"/>
    <col min="14609" max="14609" width="16.7109375" style="17" bestFit="1" customWidth="1"/>
    <col min="14610" max="14610" width="14.85546875" style="17" bestFit="1" customWidth="1"/>
    <col min="14611" max="14611" width="13.5703125" style="17" bestFit="1" customWidth="1"/>
    <col min="14612" max="14612" width="6" style="17" bestFit="1" customWidth="1"/>
    <col min="14613" max="14613" width="32.42578125" style="17" customWidth="1"/>
    <col min="14614" max="14629" width="12.140625" style="17" customWidth="1"/>
    <col min="14630" max="14844" width="11.42578125" style="17"/>
    <col min="14845" max="14848" width="24.140625" style="17" customWidth="1"/>
    <col min="14849" max="14849" width="22.140625" style="17" customWidth="1"/>
    <col min="14850" max="14850" width="24.85546875" style="17" customWidth="1"/>
    <col min="14851" max="14851" width="22.140625" style="17" customWidth="1"/>
    <col min="14852" max="14863" width="29.140625" style="17" customWidth="1"/>
    <col min="14864" max="14864" width="18.85546875" style="17" bestFit="1" customWidth="1"/>
    <col min="14865" max="14865" width="16.7109375" style="17" bestFit="1" customWidth="1"/>
    <col min="14866" max="14866" width="14.85546875" style="17" bestFit="1" customWidth="1"/>
    <col min="14867" max="14867" width="13.5703125" style="17" bestFit="1" customWidth="1"/>
    <col min="14868" max="14868" width="6" style="17" bestFit="1" customWidth="1"/>
    <col min="14869" max="14869" width="32.42578125" style="17" customWidth="1"/>
    <col min="14870" max="14885" width="12.140625" style="17" customWidth="1"/>
    <col min="14886" max="15100" width="11.42578125" style="17"/>
    <col min="15101" max="15104" width="24.140625" style="17" customWidth="1"/>
    <col min="15105" max="15105" width="22.140625" style="17" customWidth="1"/>
    <col min="15106" max="15106" width="24.85546875" style="17" customWidth="1"/>
    <col min="15107" max="15107" width="22.140625" style="17" customWidth="1"/>
    <col min="15108" max="15119" width="29.140625" style="17" customWidth="1"/>
    <col min="15120" max="15120" width="18.85546875" style="17" bestFit="1" customWidth="1"/>
    <col min="15121" max="15121" width="16.7109375" style="17" bestFit="1" customWidth="1"/>
    <col min="15122" max="15122" width="14.85546875" style="17" bestFit="1" customWidth="1"/>
    <col min="15123" max="15123" width="13.5703125" style="17" bestFit="1" customWidth="1"/>
    <col min="15124" max="15124" width="6" style="17" bestFit="1" customWidth="1"/>
    <col min="15125" max="15125" width="32.42578125" style="17" customWidth="1"/>
    <col min="15126" max="15141" width="12.140625" style="17" customWidth="1"/>
    <col min="15142" max="15356" width="11.42578125" style="17"/>
    <col min="15357" max="15360" width="24.140625" style="17" customWidth="1"/>
    <col min="15361" max="15361" width="22.140625" style="17" customWidth="1"/>
    <col min="15362" max="15362" width="24.85546875" style="17" customWidth="1"/>
    <col min="15363" max="15363" width="22.140625" style="17" customWidth="1"/>
    <col min="15364" max="15375" width="29.140625" style="17" customWidth="1"/>
    <col min="15376" max="15376" width="18.85546875" style="17" bestFit="1" customWidth="1"/>
    <col min="15377" max="15377" width="16.7109375" style="17" bestFit="1" customWidth="1"/>
    <col min="15378" max="15378" width="14.85546875" style="17" bestFit="1" customWidth="1"/>
    <col min="15379" max="15379" width="13.5703125" style="17" bestFit="1" customWidth="1"/>
    <col min="15380" max="15380" width="6" style="17" bestFit="1" customWidth="1"/>
    <col min="15381" max="15381" width="32.42578125" style="17" customWidth="1"/>
    <col min="15382" max="15397" width="12.140625" style="17" customWidth="1"/>
    <col min="15398" max="15612" width="11.42578125" style="17"/>
    <col min="15613" max="15616" width="24.140625" style="17" customWidth="1"/>
    <col min="15617" max="15617" width="22.140625" style="17" customWidth="1"/>
    <col min="15618" max="15618" width="24.85546875" style="17" customWidth="1"/>
    <col min="15619" max="15619" width="22.140625" style="17" customWidth="1"/>
    <col min="15620" max="15631" width="29.140625" style="17" customWidth="1"/>
    <col min="15632" max="15632" width="18.85546875" style="17" bestFit="1" customWidth="1"/>
    <col min="15633" max="15633" width="16.7109375" style="17" bestFit="1" customWidth="1"/>
    <col min="15634" max="15634" width="14.85546875" style="17" bestFit="1" customWidth="1"/>
    <col min="15635" max="15635" width="13.5703125" style="17" bestFit="1" customWidth="1"/>
    <col min="15636" max="15636" width="6" style="17" bestFit="1" customWidth="1"/>
    <col min="15637" max="15637" width="32.42578125" style="17" customWidth="1"/>
    <col min="15638" max="15653" width="12.140625" style="17" customWidth="1"/>
    <col min="15654" max="15868" width="11.42578125" style="17"/>
    <col min="15869" max="15872" width="24.140625" style="17" customWidth="1"/>
    <col min="15873" max="15873" width="22.140625" style="17" customWidth="1"/>
    <col min="15874" max="15874" width="24.85546875" style="17" customWidth="1"/>
    <col min="15875" max="15875" width="22.140625" style="17" customWidth="1"/>
    <col min="15876" max="15887" width="29.140625" style="17" customWidth="1"/>
    <col min="15888" max="15888" width="18.85546875" style="17" bestFit="1" customWidth="1"/>
    <col min="15889" max="15889" width="16.7109375" style="17" bestFit="1" customWidth="1"/>
    <col min="15890" max="15890" width="14.85546875" style="17" bestFit="1" customWidth="1"/>
    <col min="15891" max="15891" width="13.5703125" style="17" bestFit="1" customWidth="1"/>
    <col min="15892" max="15892" width="6" style="17" bestFit="1" customWidth="1"/>
    <col min="15893" max="15893" width="32.42578125" style="17" customWidth="1"/>
    <col min="15894" max="15909" width="12.140625" style="17" customWidth="1"/>
    <col min="15910" max="16124" width="11.42578125" style="17"/>
    <col min="16125" max="16128" width="24.140625" style="17" customWidth="1"/>
    <col min="16129" max="16129" width="22.140625" style="17" customWidth="1"/>
    <col min="16130" max="16130" width="24.85546875" style="17" customWidth="1"/>
    <col min="16131" max="16131" width="22.140625" style="17" customWidth="1"/>
    <col min="16132" max="16143" width="29.140625" style="17" customWidth="1"/>
    <col min="16144" max="16144" width="18.85546875" style="17" bestFit="1" customWidth="1"/>
    <col min="16145" max="16145" width="16.7109375" style="17" bestFit="1" customWidth="1"/>
    <col min="16146" max="16146" width="14.85546875" style="17" bestFit="1" customWidth="1"/>
    <col min="16147" max="16147" width="13.5703125" style="17" bestFit="1" customWidth="1"/>
    <col min="16148" max="16148" width="6" style="17" bestFit="1" customWidth="1"/>
    <col min="16149" max="16149" width="32.42578125" style="17" customWidth="1"/>
    <col min="16150" max="16165" width="12.140625" style="17" customWidth="1"/>
    <col min="16166" max="16384" width="11.42578125" style="17"/>
  </cols>
  <sheetData>
    <row r="1" spans="1:24" s="2" customFormat="1" ht="16.5" thickBot="1">
      <c r="A1" s="627" t="s">
        <v>17588</v>
      </c>
      <c r="B1" s="628"/>
      <c r="C1" s="628"/>
      <c r="D1" s="628"/>
      <c r="E1" s="628"/>
      <c r="F1" s="628"/>
      <c r="G1" s="628"/>
      <c r="H1" s="629"/>
      <c r="N1" s="7"/>
      <c r="O1" s="7"/>
      <c r="P1" s="7"/>
      <c r="Q1" s="7"/>
      <c r="R1" s="62"/>
      <c r="S1" s="62"/>
      <c r="T1" s="589"/>
      <c r="U1" s="589"/>
      <c r="V1" s="7"/>
      <c r="W1" s="7"/>
      <c r="X1" s="7"/>
    </row>
    <row r="2" spans="1:24" s="2" customFormat="1" ht="16.5" thickBot="1">
      <c r="A2" s="643" t="s">
        <v>0</v>
      </c>
      <c r="B2" s="644"/>
      <c r="C2" s="87"/>
      <c r="D2" s="3"/>
      <c r="E2" s="3"/>
      <c r="N2" s="7"/>
      <c r="O2" s="7"/>
      <c r="P2" s="7"/>
      <c r="Q2" s="7"/>
      <c r="R2" s="52"/>
      <c r="S2" s="52"/>
      <c r="T2" s="97"/>
      <c r="U2" s="97"/>
      <c r="V2" s="7"/>
      <c r="W2" s="7"/>
      <c r="X2" s="7"/>
    </row>
    <row r="3" spans="1:24" s="2" customFormat="1" ht="15.75">
      <c r="A3" s="121" t="s">
        <v>6165</v>
      </c>
      <c r="B3" s="6"/>
      <c r="C3" s="6"/>
      <c r="D3" s="6"/>
      <c r="E3" s="7"/>
      <c r="F3" s="7"/>
      <c r="G3" s="7"/>
      <c r="L3" s="7"/>
      <c r="N3" s="7"/>
      <c r="O3" s="7"/>
      <c r="P3" s="7"/>
      <c r="Q3" s="7"/>
      <c r="R3" s="52"/>
      <c r="S3" s="52"/>
      <c r="T3" s="97"/>
      <c r="U3" s="97"/>
      <c r="V3" s="7"/>
      <c r="W3" s="7"/>
      <c r="X3" s="7"/>
    </row>
    <row r="4" spans="1:24" s="2" customFormat="1" ht="15" customHeight="1">
      <c r="A4" s="8" t="s">
        <v>112</v>
      </c>
      <c r="B4" s="625" t="s">
        <v>105</v>
      </c>
      <c r="C4" s="625"/>
      <c r="D4" s="625"/>
      <c r="E4" s="626"/>
      <c r="F4" s="645" t="s">
        <v>6</v>
      </c>
      <c r="G4" s="106" t="s">
        <v>113</v>
      </c>
      <c r="H4" s="102" t="s">
        <v>106</v>
      </c>
      <c r="I4" s="102"/>
      <c r="J4" s="27"/>
      <c r="K4" s="622" t="s">
        <v>16660</v>
      </c>
      <c r="L4" s="108"/>
      <c r="N4" s="7"/>
      <c r="O4" s="7"/>
      <c r="P4" s="7"/>
      <c r="Q4" s="7"/>
      <c r="R4" s="52"/>
      <c r="S4" s="52"/>
      <c r="T4" s="97"/>
      <c r="U4" s="97"/>
      <c r="V4" s="7"/>
      <c r="W4" s="7"/>
      <c r="X4" s="7"/>
    </row>
    <row r="5" spans="1:24" s="2" customFormat="1" ht="15" customHeight="1">
      <c r="A5" s="10" t="s">
        <v>110</v>
      </c>
      <c r="B5" s="618" t="s">
        <v>16661</v>
      </c>
      <c r="C5" s="618"/>
      <c r="D5" s="618"/>
      <c r="E5" s="619"/>
      <c r="F5" s="645"/>
      <c r="G5" s="100" t="s">
        <v>6160</v>
      </c>
      <c r="H5" s="101" t="s">
        <v>104</v>
      </c>
      <c r="I5" s="101"/>
      <c r="J5" s="103"/>
      <c r="K5" s="623"/>
      <c r="L5" s="108"/>
      <c r="N5" s="7"/>
      <c r="O5" s="7"/>
      <c r="P5" s="7"/>
      <c r="Q5" s="7"/>
      <c r="R5" s="52"/>
      <c r="S5" s="52"/>
      <c r="T5" s="97"/>
      <c r="U5" s="97"/>
      <c r="V5" s="7"/>
      <c r="W5" s="7"/>
      <c r="X5" s="7"/>
    </row>
    <row r="6" spans="1:24" s="2" customFormat="1" ht="15" customHeight="1">
      <c r="A6" s="10" t="s">
        <v>12</v>
      </c>
      <c r="B6" s="618" t="s">
        <v>13</v>
      </c>
      <c r="C6" s="618"/>
      <c r="D6" s="618"/>
      <c r="E6" s="619"/>
      <c r="F6" s="645"/>
      <c r="G6" s="100" t="s">
        <v>98</v>
      </c>
      <c r="H6" s="101" t="s">
        <v>18053</v>
      </c>
      <c r="I6" s="101"/>
      <c r="J6" s="103"/>
      <c r="K6" s="623"/>
      <c r="L6" s="108"/>
      <c r="N6" s="7"/>
      <c r="O6" s="7"/>
      <c r="P6" s="7"/>
      <c r="Q6" s="7"/>
      <c r="R6" s="52"/>
      <c r="S6" s="52"/>
      <c r="T6" s="97"/>
      <c r="U6" s="97"/>
      <c r="V6" s="7"/>
      <c r="W6" s="7"/>
      <c r="X6" s="7"/>
    </row>
    <row r="7" spans="1:24" s="2" customFormat="1" ht="15" customHeight="1">
      <c r="A7" s="10" t="s">
        <v>111</v>
      </c>
      <c r="B7" s="618" t="s">
        <v>18054</v>
      </c>
      <c r="C7" s="618"/>
      <c r="D7" s="618"/>
      <c r="E7" s="619"/>
      <c r="F7" s="645"/>
      <c r="G7" s="100" t="s">
        <v>36</v>
      </c>
      <c r="H7" s="101" t="s">
        <v>18055</v>
      </c>
      <c r="I7" s="101"/>
      <c r="J7" s="103"/>
      <c r="K7" s="623"/>
      <c r="L7" s="108"/>
      <c r="R7" s="52"/>
      <c r="S7" s="52"/>
      <c r="T7" s="97"/>
      <c r="U7" s="97"/>
    </row>
    <row r="8" spans="1:24" s="2" customFormat="1" ht="15" customHeight="1">
      <c r="A8" s="10" t="s">
        <v>16</v>
      </c>
      <c r="B8" s="618" t="s">
        <v>17</v>
      </c>
      <c r="C8" s="618"/>
      <c r="D8" s="618"/>
      <c r="E8" s="619"/>
      <c r="F8" s="645"/>
      <c r="G8" s="100" t="s">
        <v>6154</v>
      </c>
      <c r="H8" s="101" t="s">
        <v>18056</v>
      </c>
      <c r="I8" s="101"/>
      <c r="J8" s="103"/>
      <c r="K8" s="623"/>
      <c r="L8" s="108"/>
      <c r="R8" s="52"/>
      <c r="S8" s="52"/>
      <c r="T8" s="97"/>
      <c r="U8" s="97"/>
    </row>
    <row r="9" spans="1:24" s="2" customFormat="1" ht="15" customHeight="1">
      <c r="A9" s="10" t="s">
        <v>19</v>
      </c>
      <c r="B9" s="618" t="s">
        <v>20</v>
      </c>
      <c r="C9" s="618"/>
      <c r="D9" s="618"/>
      <c r="E9" s="619"/>
      <c r="F9" s="645"/>
      <c r="G9" s="100" t="s">
        <v>114</v>
      </c>
      <c r="H9" s="101" t="s">
        <v>18056</v>
      </c>
      <c r="I9" s="101"/>
      <c r="J9" s="103"/>
      <c r="K9" s="623"/>
      <c r="L9" s="108"/>
      <c r="R9" s="52"/>
      <c r="S9" s="52"/>
      <c r="T9" s="97"/>
      <c r="U9" s="97"/>
    </row>
    <row r="10" spans="1:24" s="2" customFormat="1" ht="15" customHeight="1">
      <c r="A10" s="10" t="s">
        <v>33</v>
      </c>
      <c r="B10" s="618" t="s">
        <v>18057</v>
      </c>
      <c r="C10" s="618"/>
      <c r="D10" s="618"/>
      <c r="E10" s="619"/>
      <c r="F10" s="645"/>
      <c r="G10" s="107" t="s">
        <v>6161</v>
      </c>
      <c r="H10" s="104" t="s">
        <v>18058</v>
      </c>
      <c r="I10" s="104"/>
      <c r="J10" s="105"/>
      <c r="K10" s="624"/>
      <c r="L10" s="108"/>
      <c r="R10" s="52"/>
      <c r="S10" s="52"/>
      <c r="T10" s="97"/>
      <c r="U10" s="97"/>
    </row>
    <row r="11" spans="1:24" s="2" customFormat="1" ht="12.75">
      <c r="A11" s="10" t="s">
        <v>34</v>
      </c>
      <c r="B11" s="618" t="s">
        <v>18059</v>
      </c>
      <c r="C11" s="618"/>
      <c r="D11" s="618"/>
      <c r="E11" s="619"/>
      <c r="F11" s="645"/>
      <c r="G11" s="7"/>
      <c r="R11" s="52"/>
      <c r="S11" s="52"/>
      <c r="T11" s="97"/>
      <c r="U11" s="97"/>
    </row>
    <row r="12" spans="1:24" s="2" customFormat="1" ht="12.75">
      <c r="A12" s="10" t="s">
        <v>24</v>
      </c>
      <c r="B12" s="618" t="s">
        <v>25</v>
      </c>
      <c r="C12" s="618"/>
      <c r="D12" s="618"/>
      <c r="E12" s="619"/>
      <c r="F12" s="645"/>
      <c r="G12" s="7"/>
      <c r="R12" s="52"/>
      <c r="S12" s="52"/>
      <c r="T12" s="97"/>
      <c r="U12" s="97"/>
    </row>
    <row r="13" spans="1:24" s="2" customFormat="1" ht="12.75">
      <c r="A13" s="11" t="s">
        <v>27</v>
      </c>
      <c r="B13" s="620" t="s">
        <v>28</v>
      </c>
      <c r="C13" s="620"/>
      <c r="D13" s="620"/>
      <c r="E13" s="621"/>
      <c r="F13" s="645"/>
      <c r="G13" s="7"/>
      <c r="R13" s="52"/>
      <c r="S13" s="52"/>
      <c r="T13" s="97"/>
      <c r="U13" s="97"/>
    </row>
    <row r="14" spans="1:24" s="2" customFormat="1" ht="12.75">
      <c r="A14" s="8" t="s">
        <v>100</v>
      </c>
      <c r="B14" s="625" t="s">
        <v>18060</v>
      </c>
      <c r="C14" s="625"/>
      <c r="D14" s="625"/>
      <c r="E14" s="626"/>
      <c r="F14" s="645" t="s">
        <v>16659</v>
      </c>
      <c r="G14" s="7"/>
      <c r="R14" s="52"/>
      <c r="S14" s="52"/>
      <c r="T14" s="97"/>
      <c r="U14" s="97"/>
    </row>
    <row r="15" spans="1:24" s="2" customFormat="1" ht="12.75">
      <c r="A15" s="10" t="s">
        <v>101</v>
      </c>
      <c r="B15" s="618" t="s">
        <v>18061</v>
      </c>
      <c r="C15" s="618"/>
      <c r="D15" s="618"/>
      <c r="E15" s="619"/>
      <c r="F15" s="645"/>
      <c r="G15" s="7"/>
      <c r="R15" s="52"/>
      <c r="S15" s="52"/>
      <c r="T15" s="97"/>
      <c r="U15" s="97"/>
    </row>
    <row r="16" spans="1:24" s="2" customFormat="1" ht="12.75">
      <c r="A16" s="10" t="s">
        <v>102</v>
      </c>
      <c r="B16" s="618" t="s">
        <v>18062</v>
      </c>
      <c r="C16" s="618"/>
      <c r="D16" s="618"/>
      <c r="E16" s="619"/>
      <c r="F16" s="645"/>
      <c r="G16" s="7"/>
      <c r="R16" s="52"/>
      <c r="S16" s="52"/>
      <c r="T16" s="97"/>
      <c r="U16" s="97"/>
    </row>
    <row r="17" spans="1:22" s="2" customFormat="1" ht="12.75">
      <c r="A17" s="10" t="s">
        <v>103</v>
      </c>
      <c r="B17" s="618" t="s">
        <v>18063</v>
      </c>
      <c r="C17" s="618"/>
      <c r="D17" s="618"/>
      <c r="E17" s="619"/>
      <c r="F17" s="645"/>
      <c r="G17" s="7"/>
      <c r="R17" s="52"/>
      <c r="S17" s="52"/>
      <c r="T17" s="97"/>
      <c r="U17" s="97"/>
    </row>
    <row r="18" spans="1:22" s="2" customFormat="1" ht="12.75">
      <c r="A18" s="10" t="s">
        <v>30</v>
      </c>
      <c r="B18" s="618" t="s">
        <v>18064</v>
      </c>
      <c r="C18" s="618"/>
      <c r="D18" s="618"/>
      <c r="E18" s="619"/>
      <c r="F18" s="645"/>
      <c r="G18" s="7"/>
      <c r="R18" s="52"/>
      <c r="S18" s="52"/>
      <c r="T18" s="97"/>
      <c r="U18" s="97"/>
    </row>
    <row r="19" spans="1:22" s="2" customFormat="1" ht="12.75">
      <c r="A19" s="11" t="s">
        <v>31</v>
      </c>
      <c r="B19" s="620" t="s">
        <v>115</v>
      </c>
      <c r="C19" s="620"/>
      <c r="D19" s="620"/>
      <c r="E19" s="621"/>
      <c r="F19" s="645"/>
      <c r="G19" s="7"/>
      <c r="R19" s="52"/>
      <c r="S19" s="52"/>
      <c r="T19" s="97"/>
      <c r="U19" s="97"/>
    </row>
    <row r="20" spans="1:22" s="2" customFormat="1" ht="12">
      <c r="A20" s="5"/>
      <c r="B20" s="6"/>
      <c r="C20" s="6"/>
      <c r="D20" s="6"/>
      <c r="E20" s="7"/>
      <c r="F20" s="7"/>
      <c r="G20" s="7"/>
      <c r="R20" s="52"/>
      <c r="S20" s="52"/>
      <c r="T20" s="97"/>
      <c r="U20" s="97"/>
    </row>
    <row r="21" spans="1:22" s="2" customFormat="1" ht="12.75">
      <c r="A21" s="57" t="s">
        <v>32</v>
      </c>
      <c r="B21" s="57" t="s">
        <v>32</v>
      </c>
      <c r="C21" s="58" t="s">
        <v>43</v>
      </c>
      <c r="D21" s="57" t="s">
        <v>32</v>
      </c>
      <c r="E21" s="58" t="s">
        <v>43</v>
      </c>
      <c r="F21" s="58" t="s">
        <v>43</v>
      </c>
      <c r="G21" s="58" t="s">
        <v>43</v>
      </c>
      <c r="H21" s="58" t="s">
        <v>43</v>
      </c>
      <c r="I21" s="58" t="s">
        <v>43</v>
      </c>
      <c r="J21" s="58" t="s">
        <v>43</v>
      </c>
      <c r="K21" s="57" t="s">
        <v>32</v>
      </c>
      <c r="L21" s="57" t="s">
        <v>32</v>
      </c>
      <c r="M21" s="57" t="s">
        <v>32</v>
      </c>
      <c r="N21" s="57" t="s">
        <v>32</v>
      </c>
      <c r="O21" s="57" t="s">
        <v>32</v>
      </c>
      <c r="P21" s="57" t="s">
        <v>32</v>
      </c>
      <c r="Q21" s="60"/>
      <c r="R21" s="60"/>
      <c r="S21" s="60"/>
      <c r="T21" s="7"/>
      <c r="U21" s="7"/>
      <c r="V21" s="7"/>
    </row>
    <row r="22" spans="1:22" s="2" customFormat="1" ht="12.75">
      <c r="A22" s="59" t="s">
        <v>112</v>
      </c>
      <c r="B22" s="59" t="s">
        <v>110</v>
      </c>
      <c r="C22" s="59" t="s">
        <v>12</v>
      </c>
      <c r="D22" s="59" t="s">
        <v>111</v>
      </c>
      <c r="E22" s="59" t="s">
        <v>16</v>
      </c>
      <c r="F22" s="59" t="s">
        <v>19</v>
      </c>
      <c r="G22" s="59" t="s">
        <v>33</v>
      </c>
      <c r="H22" s="59" t="s">
        <v>34</v>
      </c>
      <c r="I22" s="59" t="s">
        <v>24</v>
      </c>
      <c r="J22" s="59" t="s">
        <v>27</v>
      </c>
      <c r="K22" s="59" t="s">
        <v>100</v>
      </c>
      <c r="L22" s="59" t="s">
        <v>101</v>
      </c>
      <c r="M22" s="59" t="s">
        <v>102</v>
      </c>
      <c r="N22" s="59" t="s">
        <v>103</v>
      </c>
      <c r="O22" s="59" t="s">
        <v>30</v>
      </c>
      <c r="P22" s="59" t="s">
        <v>31</v>
      </c>
      <c r="Q22" s="60"/>
      <c r="R22" s="60"/>
      <c r="S22" s="60"/>
      <c r="T22" s="7"/>
      <c r="U22" s="7"/>
      <c r="V22" s="7"/>
    </row>
    <row r="23" spans="1:22" s="88" customFormat="1" ht="28.5">
      <c r="A23" s="392" t="s">
        <v>18065</v>
      </c>
      <c r="B23" s="392" t="str">
        <f>'3-MO04-EN01-échantillonnage'!L4</f>
        <v>05069450</v>
      </c>
      <c r="C23" s="393" t="str">
        <f>IF(B23=0, ,VLOOKUP(B23,Station,2,0))</f>
        <v>CHAVANON</v>
      </c>
      <c r="D23" s="393" t="str">
        <f>IF(B23=0, ,VLOOKUP(B23,Station,3,0))</f>
        <v>CHAVANON A SAVENNES</v>
      </c>
      <c r="E23" s="393" t="str">
        <f>IF(B23=0, ,VLOOKUP(B23,Station,4,0))</f>
        <v>SAVENNES</v>
      </c>
      <c r="F23" s="392">
        <f>IF(B23=0, ,VLOOKUP(B23,Station,5,0))</f>
        <v>63416</v>
      </c>
      <c r="G23" s="393">
        <f>IF(B23=0, ,VLOOKUP(B23,Station,7,0))</f>
        <v>660812</v>
      </c>
      <c r="H23" s="393">
        <f>IF(B23=0, ,VLOOKUP(B23,Station,6,0))</f>
        <v>6495457</v>
      </c>
      <c r="I23" s="393">
        <f>IF(B23=0, ,VLOOKUP(B23,Station,8,0))</f>
        <v>580</v>
      </c>
      <c r="J23" s="393" t="str">
        <f>IF(B23=0, ,VLOOKUP(B23,Station,9,0))</f>
        <v>RCO</v>
      </c>
      <c r="K23" s="392">
        <f>'3-MO04-EN01-échantillonnage'!V11</f>
        <v>658634</v>
      </c>
      <c r="L23" s="392">
        <f>'3-MO04-EN01-échantillonnage'!V12</f>
        <v>6498757</v>
      </c>
      <c r="M23" s="392">
        <f>'3-MO04-EN01-échantillonnage'!Y11</f>
        <v>658875</v>
      </c>
      <c r="N23" s="392">
        <f>'3-MO04-EN01-échantillonnage'!Y12</f>
        <v>6498697</v>
      </c>
      <c r="O23" s="393">
        <f>'3-MO04-EN01-échantillonnage'!S16</f>
        <v>18.2</v>
      </c>
      <c r="P23" s="393">
        <f>'3-MO04-EN01-échantillonnage'!S18</f>
        <v>250</v>
      </c>
      <c r="Q23" s="90"/>
      <c r="R23" s="90"/>
      <c r="S23" s="90"/>
      <c r="T23" s="91"/>
      <c r="U23" s="91"/>
      <c r="V23" s="91"/>
    </row>
    <row r="24" spans="1:22" s="88" customFormat="1" ht="14.25">
      <c r="A24" s="58" t="s">
        <v>43</v>
      </c>
      <c r="B24" s="58" t="s">
        <v>6162</v>
      </c>
      <c r="C24" s="58" t="s">
        <v>43</v>
      </c>
      <c r="D24" s="57" t="s">
        <v>32</v>
      </c>
      <c r="E24" s="57" t="s">
        <v>32</v>
      </c>
      <c r="F24" s="58" t="s">
        <v>43</v>
      </c>
      <c r="G24" s="58" t="s">
        <v>6162</v>
      </c>
      <c r="H24" s="109"/>
      <c r="I24" s="109"/>
      <c r="J24" s="109"/>
      <c r="M24" s="89"/>
      <c r="N24" s="90"/>
      <c r="O24" s="90"/>
      <c r="P24" s="90"/>
      <c r="Q24" s="90"/>
      <c r="R24" s="90"/>
      <c r="S24" s="90"/>
      <c r="T24" s="91"/>
      <c r="U24" s="91"/>
      <c r="V24" s="91"/>
    </row>
    <row r="25" spans="1:22" s="88" customFormat="1" ht="14.25">
      <c r="A25" s="59" t="s">
        <v>113</v>
      </c>
      <c r="B25" s="59" t="s">
        <v>97</v>
      </c>
      <c r="C25" s="59" t="s">
        <v>98</v>
      </c>
      <c r="D25" s="59" t="s">
        <v>36</v>
      </c>
      <c r="E25" s="59" t="s">
        <v>6154</v>
      </c>
      <c r="F25" s="59" t="s">
        <v>114</v>
      </c>
      <c r="G25" s="59" t="s">
        <v>99</v>
      </c>
      <c r="H25" s="109"/>
      <c r="I25" s="109"/>
      <c r="J25" s="109"/>
      <c r="M25" s="89"/>
      <c r="N25" s="90"/>
      <c r="O25" s="90"/>
      <c r="P25" s="90"/>
      <c r="Q25" s="90"/>
      <c r="R25" s="90"/>
      <c r="S25" s="90"/>
      <c r="T25" s="91"/>
      <c r="U25" s="91"/>
      <c r="V25" s="91"/>
    </row>
    <row r="26" spans="1:22" s="88" customFormat="1" ht="28.5">
      <c r="A26" s="394" t="s">
        <v>18023</v>
      </c>
      <c r="B26" s="394" t="str">
        <f>IF('2-SAISIE-IRSTEA'!B23=0, ,VLOOKUP('2-SAISIE-IRSTEA'!B23,Station,17,0))</f>
        <v>20210506945001INV</v>
      </c>
      <c r="C26" s="394"/>
      <c r="D26" s="395">
        <f>'3-MO04-EN01-échantillonnage'!S4</f>
        <v>44439</v>
      </c>
      <c r="E26" s="396" t="s">
        <v>18065</v>
      </c>
      <c r="F26" s="394" t="s">
        <v>18023</v>
      </c>
      <c r="G26" s="397" t="str">
        <f>IF(B23=0, ,VLOOKUP(B23,Station,13,0))</f>
        <v>P21</v>
      </c>
      <c r="H26" s="109"/>
      <c r="I26" s="109"/>
      <c r="J26" s="109"/>
      <c r="M26" s="89"/>
      <c r="N26" s="90"/>
      <c r="O26" s="90"/>
      <c r="P26" s="90"/>
      <c r="Q26" s="90"/>
      <c r="R26" s="90"/>
      <c r="S26" s="90"/>
      <c r="T26" s="91"/>
      <c r="U26" s="91"/>
      <c r="V26" s="91"/>
    </row>
    <row r="27" spans="1:22" s="88" customFormat="1" ht="14.25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M27" s="89"/>
      <c r="N27" s="90"/>
      <c r="O27" s="90"/>
      <c r="P27" s="90"/>
      <c r="Q27" s="90"/>
      <c r="R27" s="90"/>
      <c r="S27" s="90"/>
      <c r="T27" s="91"/>
      <c r="U27" s="91"/>
      <c r="V27" s="91"/>
    </row>
    <row r="28" spans="1:22" s="88" customFormat="1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M28" s="89"/>
      <c r="N28" s="90"/>
      <c r="O28" s="90"/>
      <c r="P28" s="90"/>
      <c r="Q28" s="90"/>
      <c r="R28" s="90"/>
      <c r="S28" s="90"/>
      <c r="T28" s="91"/>
      <c r="U28" s="91"/>
      <c r="V28" s="91"/>
    </row>
    <row r="29" spans="1:22" ht="16.5" thickBot="1">
      <c r="A29" s="98" t="s">
        <v>16658</v>
      </c>
      <c r="B29" s="99"/>
      <c r="C29" s="99"/>
      <c r="D29" s="17"/>
      <c r="E29" s="17"/>
      <c r="H29" s="16"/>
      <c r="I29" s="16"/>
      <c r="R29" s="61"/>
      <c r="S29" s="61"/>
      <c r="T29" s="61"/>
      <c r="U29" s="65"/>
    </row>
    <row r="30" spans="1:22" ht="13.5" customHeight="1">
      <c r="A30" s="66" t="s">
        <v>3</v>
      </c>
      <c r="B30" s="17"/>
      <c r="C30" s="17"/>
      <c r="D30" s="17"/>
      <c r="E30" s="17"/>
      <c r="H30" s="16"/>
      <c r="J30" s="1"/>
      <c r="K30" s="1"/>
      <c r="L30" s="1"/>
      <c r="M30" s="1"/>
      <c r="N30" s="1"/>
      <c r="O30" s="1"/>
      <c r="T30" s="64"/>
      <c r="U30" s="63"/>
    </row>
    <row r="31" spans="1:22" ht="13.5" customHeight="1" thickBot="1">
      <c r="A31" s="8" t="s">
        <v>9</v>
      </c>
      <c r="B31" s="383" t="s">
        <v>35</v>
      </c>
      <c r="C31" s="9"/>
      <c r="D31" s="9"/>
      <c r="E31" s="19"/>
      <c r="H31" s="16"/>
      <c r="I31" s="21"/>
      <c r="J31" s="22"/>
      <c r="K31" s="2"/>
      <c r="L31" s="2"/>
      <c r="M31" s="2"/>
      <c r="P31" s="1"/>
      <c r="T31" s="64"/>
      <c r="U31" s="63"/>
    </row>
    <row r="32" spans="1:22" ht="13.5" customHeight="1" thickBot="1">
      <c r="A32" s="10" t="s">
        <v>12</v>
      </c>
      <c r="B32" s="385" t="s">
        <v>13</v>
      </c>
      <c r="C32" s="6"/>
      <c r="D32" s="6"/>
      <c r="E32" s="20"/>
      <c r="F32" s="18"/>
      <c r="H32" s="98" t="s">
        <v>38</v>
      </c>
      <c r="I32" s="117"/>
      <c r="J32" s="117"/>
      <c r="K32" s="99"/>
      <c r="L32" s="118"/>
      <c r="T32" s="64"/>
      <c r="U32" s="63"/>
      <c r="V32" s="63"/>
    </row>
    <row r="33" spans="1:21">
      <c r="A33" s="10" t="s">
        <v>111</v>
      </c>
      <c r="B33" s="385" t="s">
        <v>107</v>
      </c>
      <c r="C33" s="6"/>
      <c r="D33" s="6"/>
      <c r="E33" s="20"/>
      <c r="G33" s="21"/>
      <c r="H33" s="22"/>
      <c r="I33" s="2"/>
      <c r="J33" s="2"/>
      <c r="T33" s="64"/>
      <c r="U33" s="63"/>
    </row>
    <row r="34" spans="1:21">
      <c r="A34" s="10" t="s">
        <v>36</v>
      </c>
      <c r="B34" s="385" t="s">
        <v>18066</v>
      </c>
      <c r="C34" s="6"/>
      <c r="D34" s="6"/>
      <c r="E34" s="20"/>
      <c r="F34" s="17"/>
      <c r="G34" s="17"/>
      <c r="H34" s="66" t="s">
        <v>3</v>
      </c>
      <c r="I34" s="18"/>
      <c r="J34" s="18"/>
      <c r="T34" s="17"/>
    </row>
    <row r="35" spans="1:21">
      <c r="A35" s="10" t="s">
        <v>37</v>
      </c>
      <c r="B35" s="5" t="s">
        <v>18067</v>
      </c>
      <c r="C35" s="6"/>
      <c r="D35" s="6"/>
      <c r="E35" s="20"/>
      <c r="F35" s="17"/>
      <c r="G35" s="17"/>
      <c r="H35" s="25" t="s">
        <v>40</v>
      </c>
      <c r="I35" s="26" t="s">
        <v>18068</v>
      </c>
      <c r="J35" s="27"/>
      <c r="T35" s="17"/>
    </row>
    <row r="36" spans="1:21">
      <c r="A36" s="11" t="s">
        <v>39</v>
      </c>
      <c r="B36" s="23" t="s">
        <v>18069</v>
      </c>
      <c r="C36" s="12"/>
      <c r="D36" s="12"/>
      <c r="E36" s="24"/>
      <c r="F36" s="15"/>
      <c r="G36" s="15"/>
      <c r="H36" s="25" t="s">
        <v>41</v>
      </c>
      <c r="I36" s="26" t="s">
        <v>42</v>
      </c>
      <c r="J36" s="26"/>
      <c r="K36" s="28"/>
      <c r="L36" s="29"/>
      <c r="T36" s="17"/>
    </row>
    <row r="37" spans="1:21">
      <c r="A37" s="119"/>
      <c r="B37" s="80"/>
      <c r="C37" s="119"/>
      <c r="D37" s="119"/>
      <c r="E37" s="382" t="s">
        <v>32</v>
      </c>
      <c r="F37" s="31"/>
      <c r="G37" s="15"/>
      <c r="H37" s="57" t="s">
        <v>32</v>
      </c>
      <c r="I37" s="58" t="s">
        <v>43</v>
      </c>
      <c r="P37" s="30"/>
      <c r="Q37" s="30"/>
      <c r="R37" s="17"/>
      <c r="S37" s="17"/>
      <c r="T37" s="17"/>
    </row>
    <row r="38" spans="1:21">
      <c r="A38" s="59" t="s">
        <v>110</v>
      </c>
      <c r="B38" s="59" t="s">
        <v>12</v>
      </c>
      <c r="C38" s="59" t="s">
        <v>111</v>
      </c>
      <c r="D38" s="59" t="s">
        <v>36</v>
      </c>
      <c r="E38" s="70" t="s">
        <v>37</v>
      </c>
      <c r="F38" s="13" t="s">
        <v>44</v>
      </c>
      <c r="G38" s="54" t="s">
        <v>45</v>
      </c>
      <c r="H38" s="73" t="s">
        <v>40</v>
      </c>
      <c r="I38" s="74" t="s">
        <v>41</v>
      </c>
      <c r="R38" s="30"/>
      <c r="S38" s="30"/>
      <c r="T38" s="17"/>
    </row>
    <row r="39" spans="1:21" ht="15" customHeight="1">
      <c r="A39" s="92" t="str">
        <f>B23</f>
        <v>05069450</v>
      </c>
      <c r="B39" s="92" t="str">
        <f>C23</f>
        <v>CHAVANON</v>
      </c>
      <c r="C39" s="92" t="str">
        <f>D23</f>
        <v>CHAVANON A SAVENNES</v>
      </c>
      <c r="D39" s="93">
        <f>D26</f>
        <v>44439</v>
      </c>
      <c r="E39" s="398">
        <f>'3-MO04-EN01-échantillonnage'!S17</f>
        <v>13.8</v>
      </c>
      <c r="F39" s="32" t="s">
        <v>18070</v>
      </c>
      <c r="G39" s="33" t="s">
        <v>1</v>
      </c>
      <c r="H39" s="399">
        <f>IF(('3-MO04-EN01-échantillonnage'!V27)="P",0,IF('3-MO04-EN01-échantillonnage'!V27="",0,IF('3-MO04-EN01-échantillonnage'!V27&lt;1,1,'3-MO04-EN01-échantillonnage'!V27)))</f>
        <v>1</v>
      </c>
      <c r="I39" s="399" t="str">
        <f>IF('3-MO04-EN01-échantillonnage'!V27=0,"",IF('3-MO04-EN01-échantillonnage'!V27="P","P",IF('3-MO04-EN01-échantillonnage'!V27&gt;=5,"D","M")))</f>
        <v>M</v>
      </c>
      <c r="R39" s="30"/>
      <c r="S39" s="30"/>
      <c r="T39" s="17"/>
    </row>
    <row r="40" spans="1:21">
      <c r="A40" s="13" t="s">
        <v>18071</v>
      </c>
      <c r="B40" s="35"/>
      <c r="C40" s="35"/>
      <c r="D40" s="36"/>
      <c r="E40" s="35"/>
      <c r="F40" s="32" t="s">
        <v>46</v>
      </c>
      <c r="G40" s="33" t="s">
        <v>4</v>
      </c>
      <c r="H40" s="399">
        <f>IF(('3-MO04-EN01-échantillonnage'!V33)="P",0,IF('3-MO04-EN01-échantillonnage'!V33="",0,IF('3-MO04-EN01-échantillonnage'!V33&lt;1,1,'3-MO04-EN01-échantillonnage'!V33)))</f>
        <v>0</v>
      </c>
      <c r="I40" s="399" t="str">
        <f>IF('3-MO04-EN01-échantillonnage'!V33=0,"",IF('3-MO04-EN01-échantillonnage'!V33="P","P",IF('3-MO04-EN01-échantillonnage'!V33&gt;=5,"D","M")))</f>
        <v/>
      </c>
      <c r="R40" s="30"/>
      <c r="S40" s="30"/>
      <c r="T40" s="17"/>
    </row>
    <row r="41" spans="1:21">
      <c r="A41" s="633"/>
      <c r="B41" s="634"/>
      <c r="C41" s="634"/>
      <c r="D41" s="634"/>
      <c r="E41" s="635"/>
      <c r="F41" s="32" t="s">
        <v>47</v>
      </c>
      <c r="G41" s="33" t="s">
        <v>7</v>
      </c>
      <c r="H41" s="399">
        <f>IF(('3-MO04-EN01-échantillonnage'!V39)="P",0,IF('3-MO04-EN01-échantillonnage'!V39="",0,IF('3-MO04-EN01-échantillonnage'!V39&lt;1,1,'3-MO04-EN01-échantillonnage'!V39)))</f>
        <v>1</v>
      </c>
      <c r="I41" s="399" t="str">
        <f>IF('3-MO04-EN01-échantillonnage'!V39=0,"",IF('3-MO04-EN01-échantillonnage'!V39="P","P",IF('3-MO04-EN01-échantillonnage'!V39&gt;=5,"D","M")))</f>
        <v>M</v>
      </c>
      <c r="R41" s="30"/>
      <c r="S41" s="30"/>
      <c r="T41" s="17"/>
    </row>
    <row r="42" spans="1:21">
      <c r="A42" s="35"/>
      <c r="B42" s="35"/>
      <c r="C42" s="35"/>
      <c r="D42" s="36"/>
      <c r="E42" s="35"/>
      <c r="F42" s="32" t="s">
        <v>48</v>
      </c>
      <c r="G42" s="33" t="s">
        <v>10</v>
      </c>
      <c r="H42" s="399">
        <f>IF(('3-MO04-EN01-échantillonnage'!V45)="P",0,IF('3-MO04-EN01-échantillonnage'!V45="",0,IF('3-MO04-EN01-échantillonnage'!V45&lt;1,1,'3-MO04-EN01-échantillonnage'!V45)))</f>
        <v>1</v>
      </c>
      <c r="I42" s="399" t="str">
        <f>IF('3-MO04-EN01-échantillonnage'!V45=0,"",IF('3-MO04-EN01-échantillonnage'!V45="P","P",IF('3-MO04-EN01-échantillonnage'!V45&gt;=5,"D","M")))</f>
        <v>M</v>
      </c>
      <c r="R42" s="30"/>
      <c r="S42" s="30"/>
      <c r="T42" s="17"/>
    </row>
    <row r="43" spans="1:21">
      <c r="A43" s="35"/>
      <c r="B43" s="35"/>
      <c r="C43" s="35"/>
      <c r="D43" s="36"/>
      <c r="E43" s="35"/>
      <c r="F43" s="32" t="s">
        <v>49</v>
      </c>
      <c r="G43" s="33" t="s">
        <v>14</v>
      </c>
      <c r="H43" s="399">
        <f>IF(('3-MO04-EN01-échantillonnage'!V51)="P",0,IF('3-MO04-EN01-échantillonnage'!V51="",0,IF('3-MO04-EN01-échantillonnage'!V51&lt;1,1,'3-MO04-EN01-échantillonnage'!V51)))</f>
        <v>45</v>
      </c>
      <c r="I43" s="399" t="str">
        <f>IF('3-MO04-EN01-échantillonnage'!V51=0,"",IF('3-MO04-EN01-échantillonnage'!V51="P","P",IF('3-MO04-EN01-échantillonnage'!V51&gt;=5,"D","M")))</f>
        <v>D</v>
      </c>
      <c r="O43" s="2"/>
      <c r="R43" s="30"/>
      <c r="S43" s="30"/>
      <c r="T43" s="17"/>
    </row>
    <row r="44" spans="1:21">
      <c r="A44" s="35"/>
      <c r="B44" s="35"/>
      <c r="C44" s="35"/>
      <c r="D44" s="36"/>
      <c r="E44" s="35"/>
      <c r="F44" s="32" t="s">
        <v>50</v>
      </c>
      <c r="G44" s="33" t="s">
        <v>15</v>
      </c>
      <c r="H44" s="399">
        <f>IF(('3-MO04-EN01-échantillonnage'!V57)="P",0,IF('3-MO04-EN01-échantillonnage'!V57="",0,IF('3-MO04-EN01-échantillonnage'!V57&lt;1,1,'3-MO04-EN01-échantillonnage'!V57)))</f>
        <v>20</v>
      </c>
      <c r="I44" s="399" t="str">
        <f>IF('3-MO04-EN01-échantillonnage'!V57=0,"",IF('3-MO04-EN01-échantillonnage'!V57="P","P",IF('3-MO04-EN01-échantillonnage'!V57&gt;=5,"D","M")))</f>
        <v>D</v>
      </c>
      <c r="M44" s="2"/>
      <c r="N44" s="2"/>
      <c r="O44" s="2"/>
      <c r="P44" s="2"/>
      <c r="Q44" s="2"/>
      <c r="R44" s="2"/>
      <c r="S44" s="2"/>
      <c r="T44" s="17"/>
    </row>
    <row r="45" spans="1:21">
      <c r="A45" s="35"/>
      <c r="B45" s="35"/>
      <c r="C45" s="35"/>
      <c r="D45" s="36"/>
      <c r="E45" s="35"/>
      <c r="F45" s="32" t="s">
        <v>51</v>
      </c>
      <c r="G45" s="33" t="s">
        <v>18</v>
      </c>
      <c r="H45" s="399">
        <f>IF(('3-MO04-EN01-échantillonnage'!V63)="P",0,IF('3-MO04-EN01-échantillonnage'!V63="",0,IF('3-MO04-EN01-échantillonnage'!V63&lt;1,1,'3-MO04-EN01-échantillonnage'!V63)))</f>
        <v>1</v>
      </c>
      <c r="I45" s="399" t="str">
        <f>IF('3-MO04-EN01-échantillonnage'!V63=0,"",IF('3-MO04-EN01-échantillonnage'!V63="P","P",IF('3-MO04-EN01-échantillonnage'!V63&gt;=5,"D","M")))</f>
        <v>M</v>
      </c>
      <c r="M45" s="2"/>
      <c r="N45" s="2"/>
      <c r="O45" s="2"/>
      <c r="P45" s="2"/>
      <c r="Q45" s="2"/>
      <c r="R45" s="2"/>
      <c r="S45" s="2"/>
      <c r="T45" s="17"/>
    </row>
    <row r="46" spans="1:21">
      <c r="A46" s="35"/>
      <c r="B46" s="35"/>
      <c r="C46" s="35"/>
      <c r="D46" s="36"/>
      <c r="E46" s="35"/>
      <c r="F46" s="32" t="s">
        <v>52</v>
      </c>
      <c r="G46" s="33" t="s">
        <v>21</v>
      </c>
      <c r="H46" s="399">
        <f>IF(('3-MO04-EN01-échantillonnage'!V69)="P",0,IF('3-MO04-EN01-échantillonnage'!V69="",0,IF('3-MO04-EN01-échantillonnage'!V69&lt;1,1,'3-MO04-EN01-échantillonnage'!V69)))</f>
        <v>0</v>
      </c>
      <c r="I46" s="399" t="str">
        <f>IF('3-MO04-EN01-échantillonnage'!V69=0,"",IF('3-MO04-EN01-échantillonnage'!V69="P","P",IF('3-MO04-EN01-échantillonnage'!V69&gt;=5,"D","M")))</f>
        <v/>
      </c>
      <c r="M46" s="2"/>
      <c r="N46" s="2"/>
      <c r="O46" s="2"/>
      <c r="P46" s="2"/>
      <c r="Q46" s="2"/>
      <c r="R46" s="2"/>
      <c r="S46" s="2"/>
      <c r="T46" s="17"/>
    </row>
    <row r="47" spans="1:21">
      <c r="A47" s="35"/>
      <c r="B47" s="35"/>
      <c r="C47" s="35"/>
      <c r="D47" s="36"/>
      <c r="E47" s="35"/>
      <c r="F47" s="32" t="s">
        <v>53</v>
      </c>
      <c r="G47" s="33" t="s">
        <v>22</v>
      </c>
      <c r="H47" s="399">
        <f>IF(('3-MO04-EN01-échantillonnage'!V75)="P",0,IF('3-MO04-EN01-échantillonnage'!V75="",0,IF('3-MO04-EN01-échantillonnage'!V75&lt;1,1,'3-MO04-EN01-échantillonnage'!V75)))</f>
        <v>0</v>
      </c>
      <c r="I47" s="399" t="str">
        <f>IF('3-MO04-EN01-échantillonnage'!V75=0,"",IF('3-MO04-EN01-échantillonnage'!V75="P","P",IF('3-MO04-EN01-échantillonnage'!V75&gt;=5,"D","M")))</f>
        <v/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1" s="2" customFormat="1">
      <c r="A48" s="35"/>
      <c r="B48" s="35"/>
      <c r="C48" s="35"/>
      <c r="D48" s="36"/>
      <c r="E48" s="35"/>
      <c r="F48" s="32" t="s">
        <v>54</v>
      </c>
      <c r="G48" s="33" t="s">
        <v>23</v>
      </c>
      <c r="H48" s="399">
        <f>IF(('3-MO04-EN01-échantillonnage'!V81)="P",0,IF('3-MO04-EN01-échantillonnage'!V81="",0,IF('3-MO04-EN01-échantillonnage'!V81&lt;1,1,'3-MO04-EN01-échantillonnage'!V81)))</f>
        <v>1</v>
      </c>
      <c r="I48" s="399" t="str">
        <f>IF('3-MO04-EN01-échantillonnage'!V81=0,"",IF('3-MO04-EN01-échantillonnage'!V81="P","P",IF('3-MO04-EN01-échantillonnage'!V81&gt;=5,"D","M")))</f>
        <v>M</v>
      </c>
      <c r="O48" s="15"/>
    </row>
    <row r="49" spans="1:20" s="2" customFormat="1">
      <c r="A49" s="35"/>
      <c r="B49" s="35"/>
      <c r="C49" s="35"/>
      <c r="D49" s="36"/>
      <c r="E49" s="35"/>
      <c r="F49" s="32" t="s">
        <v>55</v>
      </c>
      <c r="G49" s="33" t="s">
        <v>26</v>
      </c>
      <c r="H49" s="399">
        <f>IF(('3-MO04-EN01-échantillonnage'!V87)="P",0,IF('3-MO04-EN01-échantillonnage'!V87="",0,IF('3-MO04-EN01-échantillonnage'!V87&lt;1,1,'3-MO04-EN01-échantillonnage'!V87)))</f>
        <v>0</v>
      </c>
      <c r="I49" s="399" t="str">
        <f>IF('3-MO04-EN01-échantillonnage'!V87=0,"",IF('3-MO04-EN01-échantillonnage'!V87="P","P",IF('3-MO04-EN01-échantillonnage'!V87&gt;=5,"D","M")))</f>
        <v/>
      </c>
      <c r="M49" s="15"/>
      <c r="N49" s="15"/>
      <c r="O49" s="15"/>
      <c r="P49" s="15"/>
      <c r="Q49" s="15"/>
      <c r="R49" s="30"/>
      <c r="S49" s="30"/>
    </row>
    <row r="50" spans="1:20" s="2" customFormat="1">
      <c r="A50" s="35"/>
      <c r="B50" s="35"/>
      <c r="C50" s="35"/>
      <c r="D50" s="36"/>
      <c r="E50" s="35"/>
      <c r="F50" s="83" t="s">
        <v>56</v>
      </c>
      <c r="G50" s="84" t="s">
        <v>29</v>
      </c>
      <c r="H50" s="399">
        <f>IF(('3-MO04-EN01-échantillonnage'!V93)="P",0,IF('3-MO04-EN01-échantillonnage'!V93="",0,IF('3-MO04-EN01-échantillonnage'!V93&lt;1,1,'3-MO04-EN01-échantillonnage'!V93)))</f>
        <v>30</v>
      </c>
      <c r="I50" s="399" t="str">
        <f>IF('3-MO04-EN01-échantillonnage'!V93=0,"",IF('3-MO04-EN01-échantillonnage'!V93="P","P",IF('3-MO04-EN01-échantillonnage'!V93&gt;=5,"D","M")))</f>
        <v>D</v>
      </c>
      <c r="M50" s="15"/>
      <c r="N50" s="15"/>
      <c r="O50" s="15"/>
      <c r="P50" s="15"/>
      <c r="Q50" s="15"/>
      <c r="R50" s="30"/>
      <c r="S50" s="30"/>
    </row>
    <row r="51" spans="1:20" s="2" customFormat="1" ht="16.5" thickBot="1">
      <c r="A51" s="1"/>
      <c r="B51" s="1"/>
      <c r="C51" s="1"/>
      <c r="D51" s="1"/>
      <c r="E51" s="1"/>
      <c r="F51" s="641" t="s">
        <v>57</v>
      </c>
      <c r="G51" s="642"/>
      <c r="H51" s="85">
        <f>SUM(H39:H50)/100</f>
        <v>1</v>
      </c>
      <c r="N51" s="15"/>
      <c r="O51" s="15"/>
      <c r="P51" s="15"/>
      <c r="Q51" s="15"/>
      <c r="R51" s="30"/>
      <c r="S51" s="30"/>
    </row>
    <row r="52" spans="1:20" s="2" customFormat="1" ht="16.5" thickBot="1">
      <c r="A52" s="636" t="s">
        <v>58</v>
      </c>
      <c r="B52" s="637"/>
      <c r="C52" s="637"/>
      <c r="D52" s="637"/>
      <c r="E52" s="638"/>
      <c r="F52" s="14"/>
      <c r="G52" s="3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0"/>
    </row>
    <row r="53" spans="1:20">
      <c r="G53" s="38"/>
      <c r="T53" s="30"/>
    </row>
    <row r="54" spans="1:20">
      <c r="A54" s="66" t="s">
        <v>3</v>
      </c>
      <c r="B54" s="18"/>
      <c r="C54" s="18"/>
      <c r="D54" s="18"/>
      <c r="E54" s="39"/>
      <c r="F54" s="40"/>
      <c r="G54" s="38"/>
      <c r="T54" s="30"/>
    </row>
    <row r="55" spans="1:20">
      <c r="A55" s="8" t="s">
        <v>44</v>
      </c>
      <c r="B55" s="383" t="s">
        <v>18072</v>
      </c>
      <c r="C55" s="9"/>
      <c r="D55" s="9"/>
      <c r="E55" s="9"/>
      <c r="F55" s="19"/>
      <c r="G55" s="4"/>
      <c r="J55" s="41"/>
      <c r="T55" s="30"/>
    </row>
    <row r="56" spans="1:20">
      <c r="A56" s="10" t="s">
        <v>59</v>
      </c>
      <c r="B56" s="385" t="s">
        <v>18072</v>
      </c>
      <c r="C56" s="6"/>
      <c r="D56" s="6"/>
      <c r="E56" s="6"/>
      <c r="F56" s="20"/>
      <c r="G56" s="4"/>
      <c r="H56" s="66" t="s">
        <v>3</v>
      </c>
      <c r="J56" s="41"/>
      <c r="T56" s="30"/>
    </row>
    <row r="57" spans="1:20">
      <c r="A57" s="10" t="s">
        <v>116</v>
      </c>
      <c r="B57" s="385" t="s">
        <v>18073</v>
      </c>
      <c r="C57" s="6"/>
      <c r="D57" s="6"/>
      <c r="E57" s="6"/>
      <c r="F57" s="20"/>
      <c r="G57" s="4"/>
      <c r="H57" s="42" t="s">
        <v>60</v>
      </c>
      <c r="I57" s="42" t="s">
        <v>45</v>
      </c>
      <c r="J57" s="42" t="s">
        <v>61</v>
      </c>
      <c r="T57" s="30"/>
    </row>
    <row r="58" spans="1:20">
      <c r="A58" s="10" t="s">
        <v>62</v>
      </c>
      <c r="B58" s="385" t="s">
        <v>63</v>
      </c>
      <c r="C58" s="6"/>
      <c r="D58" s="6"/>
      <c r="E58" s="6"/>
      <c r="F58" s="20"/>
      <c r="G58" s="4"/>
      <c r="H58" s="43" t="s">
        <v>64</v>
      </c>
      <c r="I58" s="43" t="s">
        <v>11</v>
      </c>
      <c r="J58" s="43" t="s">
        <v>65</v>
      </c>
      <c r="T58" s="30"/>
    </row>
    <row r="59" spans="1:20">
      <c r="A59" s="10" t="s">
        <v>66</v>
      </c>
      <c r="B59" s="385" t="s">
        <v>67</v>
      </c>
      <c r="C59" s="6"/>
      <c r="D59" s="6"/>
      <c r="E59" s="6"/>
      <c r="F59" s="20"/>
      <c r="G59" s="4"/>
      <c r="H59" s="44" t="s">
        <v>68</v>
      </c>
      <c r="I59" s="44" t="s">
        <v>2</v>
      </c>
      <c r="J59" s="44" t="s">
        <v>69</v>
      </c>
      <c r="T59" s="30"/>
    </row>
    <row r="60" spans="1:20">
      <c r="A60" s="10" t="s">
        <v>70</v>
      </c>
      <c r="B60" s="385" t="s">
        <v>71</v>
      </c>
      <c r="C60" s="6"/>
      <c r="D60" s="6"/>
      <c r="E60" s="6"/>
      <c r="F60" s="20"/>
      <c r="G60" s="4"/>
      <c r="H60" s="44" t="s">
        <v>72</v>
      </c>
      <c r="I60" s="44" t="s">
        <v>5</v>
      </c>
      <c r="J60" s="44" t="s">
        <v>73</v>
      </c>
      <c r="T60" s="30"/>
    </row>
    <row r="61" spans="1:20">
      <c r="A61" s="10" t="s">
        <v>74</v>
      </c>
      <c r="B61" s="385" t="s">
        <v>75</v>
      </c>
      <c r="C61" s="6"/>
      <c r="D61" s="6"/>
      <c r="E61" s="6"/>
      <c r="F61" s="20"/>
      <c r="G61" s="45"/>
      <c r="H61" s="46" t="s">
        <v>76</v>
      </c>
      <c r="I61" s="46" t="s">
        <v>8</v>
      </c>
      <c r="J61" s="46" t="s">
        <v>77</v>
      </c>
      <c r="O61" s="16"/>
      <c r="P61" s="16"/>
      <c r="Q61" s="16"/>
      <c r="R61" s="16"/>
      <c r="S61" s="16"/>
      <c r="T61" s="16"/>
    </row>
    <row r="62" spans="1:20">
      <c r="A62" s="11" t="s">
        <v>78</v>
      </c>
      <c r="B62" s="387" t="s">
        <v>79</v>
      </c>
      <c r="C62" s="47"/>
      <c r="D62" s="47"/>
      <c r="E62" s="12"/>
      <c r="F62" s="24"/>
      <c r="G62" s="45"/>
      <c r="H62" s="16"/>
      <c r="T62" s="30"/>
    </row>
    <row r="63" spans="1:20">
      <c r="E63" s="48"/>
      <c r="F63" s="15"/>
      <c r="H63" s="16"/>
      <c r="T63" s="30"/>
    </row>
    <row r="64" spans="1:20">
      <c r="A64" s="120"/>
      <c r="B64" s="120"/>
      <c r="C64" s="120"/>
      <c r="D64" s="57" t="s">
        <v>32</v>
      </c>
      <c r="E64" s="57" t="s">
        <v>32</v>
      </c>
      <c r="F64" s="57" t="s">
        <v>32</v>
      </c>
      <c r="G64" s="58" t="s">
        <v>43</v>
      </c>
      <c r="H64" s="58" t="s">
        <v>43</v>
      </c>
      <c r="I64" s="58" t="s">
        <v>43</v>
      </c>
      <c r="J64" s="58" t="s">
        <v>43</v>
      </c>
      <c r="K64" s="58" t="s">
        <v>43</v>
      </c>
      <c r="L64" s="16"/>
      <c r="M64" s="16"/>
      <c r="N64" s="16"/>
      <c r="T64" s="30"/>
    </row>
    <row r="65" spans="1:20" s="16" customFormat="1">
      <c r="A65" s="69" t="s">
        <v>110</v>
      </c>
      <c r="B65" s="69" t="s">
        <v>36</v>
      </c>
      <c r="C65" s="69" t="s">
        <v>108</v>
      </c>
      <c r="D65" s="59" t="s">
        <v>44</v>
      </c>
      <c r="E65" s="59" t="s">
        <v>59</v>
      </c>
      <c r="F65" s="59" t="s">
        <v>116</v>
      </c>
      <c r="G65" s="59" t="s">
        <v>62</v>
      </c>
      <c r="H65" s="59" t="s">
        <v>80</v>
      </c>
      <c r="I65" s="59" t="s">
        <v>70</v>
      </c>
      <c r="J65" s="59" t="s">
        <v>74</v>
      </c>
      <c r="K65" s="59" t="s">
        <v>78</v>
      </c>
      <c r="L65" s="15"/>
      <c r="M65" s="15"/>
      <c r="N65" s="15"/>
      <c r="O65" s="15"/>
      <c r="P65" s="15"/>
      <c r="Q65" s="15"/>
      <c r="R65" s="15"/>
      <c r="S65" s="15"/>
      <c r="T65" s="30"/>
    </row>
    <row r="66" spans="1:20">
      <c r="A66" s="72" t="str">
        <f>B23</f>
        <v>05069450</v>
      </c>
      <c r="B66" s="94">
        <f>D26</f>
        <v>44439</v>
      </c>
      <c r="C66" s="71" t="s">
        <v>81</v>
      </c>
      <c r="D66" s="399" t="str">
        <f>IF(cemagref!C199=0,"",cemagref!C199)</f>
        <v>S1</v>
      </c>
      <c r="E66" s="399" t="str">
        <f>IF(cemagref!D199=0,"",cemagref!D199)</f>
        <v>N5</v>
      </c>
      <c r="F66" s="399" t="str">
        <f>IF(cemagref!E199=0,"",cemagref!E199)</f>
        <v>PhA</v>
      </c>
      <c r="G66" s="399"/>
      <c r="H66" s="399"/>
      <c r="I66" s="399"/>
      <c r="J66" s="399"/>
      <c r="K66" s="399"/>
      <c r="T66" s="30"/>
    </row>
    <row r="67" spans="1:20">
      <c r="A67" s="49" t="str">
        <f t="shared" ref="A67:B77" si="0">+A$66</f>
        <v>05069450</v>
      </c>
      <c r="B67" s="50">
        <f t="shared" si="0"/>
        <v>44439</v>
      </c>
      <c r="C67" s="71" t="s">
        <v>82</v>
      </c>
      <c r="D67" s="399" t="str">
        <f>IF(cemagref!C200=0,"",cemagref!C200)</f>
        <v>S3</v>
      </c>
      <c r="E67" s="399" t="str">
        <f>IF(cemagref!D200=0,"",cemagref!D200)</f>
        <v>N1</v>
      </c>
      <c r="F67" s="399" t="str">
        <f>IF(cemagref!E200=0,"",cemagref!E200)</f>
        <v>PhA</v>
      </c>
      <c r="G67" s="400"/>
      <c r="H67" s="399"/>
      <c r="I67" s="399"/>
      <c r="J67" s="400"/>
      <c r="K67" s="399"/>
      <c r="T67" s="30"/>
    </row>
    <row r="68" spans="1:20">
      <c r="A68" s="49" t="str">
        <f t="shared" si="0"/>
        <v>05069450</v>
      </c>
      <c r="B68" s="50">
        <f t="shared" si="0"/>
        <v>44439</v>
      </c>
      <c r="C68" s="71" t="s">
        <v>83</v>
      </c>
      <c r="D68" s="399" t="str">
        <f>IF(cemagref!C201=0,"",cemagref!C201)</f>
        <v>S28</v>
      </c>
      <c r="E68" s="399" t="str">
        <f>IF(cemagref!D201=0,"",cemagref!D201)</f>
        <v>N1</v>
      </c>
      <c r="F68" s="399" t="str">
        <f>IF(cemagref!E201=0,"",cemagref!E201)</f>
        <v>PhA</v>
      </c>
      <c r="G68" s="400"/>
      <c r="H68" s="399"/>
      <c r="I68" s="399"/>
      <c r="J68" s="400"/>
      <c r="K68" s="399"/>
      <c r="T68" s="30"/>
    </row>
    <row r="69" spans="1:20">
      <c r="A69" s="49" t="str">
        <f t="shared" si="0"/>
        <v>05069450</v>
      </c>
      <c r="B69" s="50">
        <f t="shared" si="0"/>
        <v>44439</v>
      </c>
      <c r="C69" s="71" t="s">
        <v>84</v>
      </c>
      <c r="D69" s="399" t="str">
        <f>IF(cemagref!C202=0,"",cemagref!C202)</f>
        <v>S9</v>
      </c>
      <c r="E69" s="399" t="str">
        <f>IF(cemagref!D202=0,"",cemagref!D202)</f>
        <v>N3</v>
      </c>
      <c r="F69" s="399" t="str">
        <f>IF(cemagref!E202=0,"",cemagref!E202)</f>
        <v>PhA</v>
      </c>
      <c r="G69" s="400"/>
      <c r="H69" s="399"/>
      <c r="I69" s="399"/>
      <c r="J69" s="400"/>
      <c r="K69" s="399"/>
      <c r="T69" s="30"/>
    </row>
    <row r="70" spans="1:20">
      <c r="A70" s="49" t="str">
        <f t="shared" si="0"/>
        <v>05069450</v>
      </c>
      <c r="B70" s="50">
        <f t="shared" si="0"/>
        <v>44439</v>
      </c>
      <c r="C70" s="71" t="s">
        <v>85</v>
      </c>
      <c r="D70" s="399" t="str">
        <f>IF(cemagref!C203=0,"",cemagref!C203)</f>
        <v>S24</v>
      </c>
      <c r="E70" s="399" t="str">
        <f>IF(cemagref!D203=0,"",cemagref!D203)</f>
        <v>N5</v>
      </c>
      <c r="F70" s="399" t="str">
        <f>IF(cemagref!E203=0,"",cemagref!E203)</f>
        <v>PhB</v>
      </c>
      <c r="G70" s="400"/>
      <c r="H70" s="399"/>
      <c r="I70" s="399"/>
      <c r="J70" s="400"/>
      <c r="K70" s="399"/>
      <c r="T70" s="30"/>
    </row>
    <row r="71" spans="1:20">
      <c r="A71" s="49" t="str">
        <f t="shared" si="0"/>
        <v>05069450</v>
      </c>
      <c r="B71" s="50">
        <f t="shared" si="0"/>
        <v>44439</v>
      </c>
      <c r="C71" s="71" t="s">
        <v>86</v>
      </c>
      <c r="D71" s="399" t="str">
        <f>IF(cemagref!C204=0,"",cemagref!C204)</f>
        <v>S30</v>
      </c>
      <c r="E71" s="399" t="str">
        <f>IF(cemagref!D204=0,"",cemagref!D204)</f>
        <v>N5</v>
      </c>
      <c r="F71" s="399" t="str">
        <f>IF(cemagref!E204=0,"",cemagref!E204)</f>
        <v>PhB</v>
      </c>
      <c r="G71" s="400"/>
      <c r="H71" s="399"/>
      <c r="I71" s="399"/>
      <c r="J71" s="400"/>
      <c r="K71" s="399"/>
      <c r="T71" s="30"/>
    </row>
    <row r="72" spans="1:20">
      <c r="A72" s="49" t="str">
        <f t="shared" si="0"/>
        <v>05069450</v>
      </c>
      <c r="B72" s="50">
        <f t="shared" si="0"/>
        <v>44439</v>
      </c>
      <c r="C72" s="71" t="s">
        <v>87</v>
      </c>
      <c r="D72" s="399" t="str">
        <f>IF(cemagref!C205=0,"",cemagref!C205)</f>
        <v>S29</v>
      </c>
      <c r="E72" s="399" t="str">
        <f>IF(cemagref!D205=0,"",cemagref!D205)</f>
        <v>N5</v>
      </c>
      <c r="F72" s="399" t="str">
        <f>IF(cemagref!E205=0,"",cemagref!E205)</f>
        <v>PhB</v>
      </c>
      <c r="G72" s="400"/>
      <c r="H72" s="399"/>
      <c r="I72" s="399"/>
      <c r="J72" s="400"/>
      <c r="K72" s="399"/>
      <c r="T72" s="30"/>
    </row>
    <row r="73" spans="1:20">
      <c r="A73" s="49" t="str">
        <f t="shared" si="0"/>
        <v>05069450</v>
      </c>
      <c r="B73" s="50">
        <f t="shared" si="0"/>
        <v>44439</v>
      </c>
      <c r="C73" s="71" t="s">
        <v>88</v>
      </c>
      <c r="D73" s="399" t="str">
        <f>IF(cemagref!C206=0,"",cemagref!C206)</f>
        <v>S24</v>
      </c>
      <c r="E73" s="399" t="str">
        <f>IF(cemagref!D206=0,"",cemagref!D206)</f>
        <v>N3</v>
      </c>
      <c r="F73" s="399" t="str">
        <f>IF(cemagref!E206=0,"",cemagref!E206)</f>
        <v>PhB</v>
      </c>
      <c r="G73" s="400"/>
      <c r="H73" s="399"/>
      <c r="I73" s="399"/>
      <c r="J73" s="400"/>
      <c r="K73" s="399"/>
      <c r="T73" s="30"/>
    </row>
    <row r="74" spans="1:20">
      <c r="A74" s="49" t="str">
        <f t="shared" si="0"/>
        <v>05069450</v>
      </c>
      <c r="B74" s="50">
        <f t="shared" si="0"/>
        <v>44439</v>
      </c>
      <c r="C74" s="71" t="s">
        <v>89</v>
      </c>
      <c r="D74" s="399" t="str">
        <f>IF(cemagref!C207=0,"",cemagref!C207)</f>
        <v>S24</v>
      </c>
      <c r="E74" s="399" t="str">
        <f>IF(cemagref!D207=0,"",cemagref!D207)</f>
        <v>N1</v>
      </c>
      <c r="F74" s="399" t="str">
        <f>IF(cemagref!E207=0,"",cemagref!E207)</f>
        <v>PhC</v>
      </c>
      <c r="G74" s="400"/>
      <c r="H74" s="399"/>
      <c r="I74" s="399"/>
      <c r="J74" s="400"/>
      <c r="K74" s="399"/>
      <c r="T74" s="30"/>
    </row>
    <row r="75" spans="1:20">
      <c r="A75" s="49" t="str">
        <f t="shared" si="0"/>
        <v>05069450</v>
      </c>
      <c r="B75" s="50">
        <f t="shared" si="0"/>
        <v>44439</v>
      </c>
      <c r="C75" s="71" t="s">
        <v>90</v>
      </c>
      <c r="D75" s="399" t="str">
        <f>IF(cemagref!C208=0,"",cemagref!C208)</f>
        <v>S29</v>
      </c>
      <c r="E75" s="399" t="str">
        <f>IF(cemagref!D208=0,"",cemagref!D208)</f>
        <v>N3</v>
      </c>
      <c r="F75" s="399" t="str">
        <f>IF(cemagref!E208=0,"",cemagref!E208)</f>
        <v>PhC</v>
      </c>
      <c r="G75" s="400"/>
      <c r="H75" s="399"/>
      <c r="I75" s="399"/>
      <c r="J75" s="400"/>
      <c r="K75" s="399"/>
      <c r="T75" s="30"/>
    </row>
    <row r="76" spans="1:20">
      <c r="A76" s="49" t="str">
        <f t="shared" si="0"/>
        <v>05069450</v>
      </c>
      <c r="B76" s="50">
        <f t="shared" si="0"/>
        <v>44439</v>
      </c>
      <c r="C76" s="71" t="s">
        <v>91</v>
      </c>
      <c r="D76" s="399" t="str">
        <f>IF(cemagref!C209=0,"",cemagref!C209)</f>
        <v>S30</v>
      </c>
      <c r="E76" s="399" t="str">
        <f>IF(cemagref!D209=0,"",cemagref!D209)</f>
        <v>N3</v>
      </c>
      <c r="F76" s="399" t="str">
        <f>IF(cemagref!E209=0,"",cemagref!E209)</f>
        <v>PhC</v>
      </c>
      <c r="G76" s="400"/>
      <c r="H76" s="399"/>
      <c r="I76" s="399"/>
      <c r="J76" s="400"/>
      <c r="K76" s="399"/>
      <c r="T76" s="30"/>
    </row>
    <row r="77" spans="1:20">
      <c r="A77" s="49" t="str">
        <f t="shared" si="0"/>
        <v>05069450</v>
      </c>
      <c r="B77" s="50">
        <f t="shared" si="0"/>
        <v>44439</v>
      </c>
      <c r="C77" s="71" t="s">
        <v>92</v>
      </c>
      <c r="D77" s="399" t="str">
        <f>IF(cemagref!C210=0,"",cemagref!C210)</f>
        <v>S24</v>
      </c>
      <c r="E77" s="399" t="str">
        <f>IF(cemagref!D210=0,"",cemagref!D210)</f>
        <v>N6</v>
      </c>
      <c r="F77" s="399" t="str">
        <f>IF(cemagref!E210=0,"",cemagref!E210)</f>
        <v>PhC</v>
      </c>
      <c r="G77" s="400"/>
      <c r="H77" s="399"/>
      <c r="I77" s="399"/>
      <c r="J77" s="400"/>
      <c r="K77" s="399"/>
      <c r="T77" s="30"/>
    </row>
    <row r="78" spans="1:20" s="82" customFormat="1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5"/>
      <c r="M78" s="15"/>
      <c r="N78" s="15"/>
      <c r="O78" s="15"/>
      <c r="P78" s="15"/>
      <c r="Q78" s="15"/>
      <c r="R78" s="15"/>
      <c r="S78" s="15"/>
      <c r="T78" s="81"/>
    </row>
    <row r="79" spans="1:20" ht="16.5" thickBot="1">
      <c r="A79" s="639" t="s">
        <v>93</v>
      </c>
      <c r="B79" s="640"/>
      <c r="C79" s="1"/>
      <c r="D79" s="1"/>
      <c r="E79" s="1"/>
      <c r="F79" s="1"/>
      <c r="G79" s="2"/>
      <c r="H79" s="2"/>
      <c r="I79" s="2"/>
      <c r="T79" s="30"/>
    </row>
    <row r="80" spans="1:20">
      <c r="A80" s="7"/>
      <c r="B80" s="2"/>
      <c r="C80" s="2"/>
      <c r="D80" s="2"/>
      <c r="E80" s="2"/>
      <c r="F80" s="2"/>
      <c r="G80" s="2"/>
      <c r="H80" s="2"/>
      <c r="I80" s="2"/>
      <c r="T80" s="30"/>
    </row>
    <row r="81" spans="1:20">
      <c r="A81" s="5" t="s">
        <v>6165</v>
      </c>
      <c r="B81" s="18"/>
      <c r="C81" s="18"/>
      <c r="D81" s="3"/>
      <c r="E81" s="3"/>
      <c r="F81" s="3"/>
      <c r="G81" s="2"/>
      <c r="H81" s="2"/>
      <c r="I81" s="2"/>
      <c r="T81" s="30"/>
    </row>
    <row r="82" spans="1:20">
      <c r="A82" s="75" t="s">
        <v>109</v>
      </c>
      <c r="B82" s="383" t="s">
        <v>94</v>
      </c>
      <c r="C82" s="51"/>
      <c r="D82" s="384"/>
      <c r="E82" s="3"/>
      <c r="F82" s="2"/>
      <c r="G82" s="52"/>
      <c r="H82" s="2"/>
      <c r="I82" s="2"/>
      <c r="T82" s="30"/>
    </row>
    <row r="83" spans="1:20">
      <c r="A83" s="76" t="s">
        <v>117</v>
      </c>
      <c r="B83" s="5" t="s">
        <v>95</v>
      </c>
      <c r="C83" s="53"/>
      <c r="D83" s="386"/>
      <c r="E83" s="3"/>
      <c r="F83" s="17"/>
      <c r="G83" s="52"/>
      <c r="H83" s="2"/>
      <c r="I83" s="2"/>
      <c r="T83" s="30"/>
    </row>
    <row r="84" spans="1:20">
      <c r="A84" s="77" t="s">
        <v>118</v>
      </c>
      <c r="B84" s="387" t="s">
        <v>96</v>
      </c>
      <c r="C84" s="47"/>
      <c r="D84" s="388"/>
      <c r="E84" s="3"/>
      <c r="F84" s="17"/>
      <c r="G84" s="52"/>
      <c r="H84" s="2"/>
      <c r="I84" s="2"/>
      <c r="T84" s="30"/>
    </row>
    <row r="85" spans="1:20">
      <c r="A85" s="2"/>
      <c r="B85" s="2"/>
      <c r="C85" s="2"/>
      <c r="D85" s="2"/>
      <c r="E85" s="2"/>
      <c r="F85" s="17"/>
      <c r="G85" s="2"/>
      <c r="H85" s="2"/>
      <c r="I85" s="2"/>
      <c r="T85" s="30"/>
    </row>
    <row r="86" spans="1:20" ht="43.5" customHeight="1">
      <c r="A86" s="120"/>
      <c r="B86" s="120"/>
      <c r="C86" s="58" t="s">
        <v>43</v>
      </c>
      <c r="D86" s="57" t="s">
        <v>6164</v>
      </c>
      <c r="E86" s="630" t="s">
        <v>6163</v>
      </c>
      <c r="F86" s="630"/>
      <c r="G86" s="630"/>
      <c r="H86" s="631" t="s">
        <v>18074</v>
      </c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2"/>
      <c r="T86" s="30"/>
    </row>
    <row r="87" spans="1:20" ht="12.75" customHeight="1">
      <c r="A87" s="67" t="s">
        <v>110</v>
      </c>
      <c r="B87" s="67" t="s">
        <v>36</v>
      </c>
      <c r="C87" s="67" t="s">
        <v>109</v>
      </c>
      <c r="D87" s="68" t="s">
        <v>117</v>
      </c>
      <c r="E87" s="67" t="s">
        <v>119</v>
      </c>
      <c r="F87" s="67" t="s">
        <v>121</v>
      </c>
      <c r="G87" s="67" t="s">
        <v>120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  <c r="T87" s="30"/>
    </row>
    <row r="88" spans="1:20">
      <c r="A88" s="115" t="str">
        <f>B23</f>
        <v>05069450</v>
      </c>
      <c r="B88" s="116">
        <f>D26</f>
        <v>44439</v>
      </c>
      <c r="C88" s="34" t="s">
        <v>2296</v>
      </c>
      <c r="D88" s="86">
        <f t="shared" ref="D88:D119" si="1">VLOOKUP(C88,Ref.Taxo.,2,0)</f>
        <v>169</v>
      </c>
      <c r="E88" s="34">
        <v>22</v>
      </c>
      <c r="F88" s="34">
        <v>4</v>
      </c>
      <c r="G88" s="34">
        <v>13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0"/>
    </row>
    <row r="89" spans="1:20">
      <c r="A89" s="49" t="str">
        <f t="shared" ref="A89:B108" si="2">+A$88</f>
        <v>05069450</v>
      </c>
      <c r="B89" s="50">
        <f t="shared" si="2"/>
        <v>44439</v>
      </c>
      <c r="C89" s="34" t="s">
        <v>2191</v>
      </c>
      <c r="D89" s="86">
        <f t="shared" si="1"/>
        <v>174</v>
      </c>
      <c r="E89" s="34">
        <v>6</v>
      </c>
      <c r="F89" s="34">
        <v>5</v>
      </c>
      <c r="G89" s="34">
        <v>6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0"/>
    </row>
    <row r="90" spans="1:20">
      <c r="A90" s="49" t="str">
        <f t="shared" si="2"/>
        <v>05069450</v>
      </c>
      <c r="B90" s="50">
        <f t="shared" si="2"/>
        <v>44439</v>
      </c>
      <c r="C90" s="34" t="s">
        <v>1835</v>
      </c>
      <c r="D90" s="86">
        <f t="shared" si="1"/>
        <v>69</v>
      </c>
      <c r="E90" s="34">
        <v>54</v>
      </c>
      <c r="F90" s="34">
        <v>42</v>
      </c>
      <c r="G90" s="34">
        <v>58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0"/>
    </row>
    <row r="91" spans="1:20">
      <c r="A91" s="49" t="str">
        <f t="shared" si="2"/>
        <v>05069450</v>
      </c>
      <c r="B91" s="50">
        <f t="shared" si="2"/>
        <v>44439</v>
      </c>
      <c r="C91" s="34" t="s">
        <v>1964</v>
      </c>
      <c r="D91" s="86">
        <f t="shared" si="1"/>
        <v>26</v>
      </c>
      <c r="E91" s="34">
        <v>2</v>
      </c>
      <c r="F91" s="34">
        <v>1</v>
      </c>
      <c r="G91" s="34">
        <v>1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0"/>
    </row>
    <row r="92" spans="1:20">
      <c r="A92" s="49" t="str">
        <f t="shared" si="2"/>
        <v>05069450</v>
      </c>
      <c r="B92" s="50">
        <f t="shared" si="2"/>
        <v>44439</v>
      </c>
      <c r="C92" s="34" t="s">
        <v>2050</v>
      </c>
      <c r="D92" s="86">
        <f t="shared" si="1"/>
        <v>46</v>
      </c>
      <c r="E92" s="34">
        <v>336</v>
      </c>
      <c r="F92" s="34">
        <v>14</v>
      </c>
      <c r="G92" s="34">
        <v>40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0"/>
    </row>
    <row r="93" spans="1:20">
      <c r="A93" s="49" t="str">
        <f t="shared" si="2"/>
        <v>05069450</v>
      </c>
      <c r="B93" s="50">
        <f t="shared" si="2"/>
        <v>44439</v>
      </c>
      <c r="C93" s="34" t="s">
        <v>2297</v>
      </c>
      <c r="D93" s="86">
        <f t="shared" si="1"/>
        <v>155</v>
      </c>
      <c r="E93" s="34"/>
      <c r="F93" s="34"/>
      <c r="G93" s="34">
        <v>1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0"/>
    </row>
    <row r="94" spans="1:20">
      <c r="A94" s="49" t="str">
        <f t="shared" si="2"/>
        <v>05069450</v>
      </c>
      <c r="B94" s="50">
        <f t="shared" si="2"/>
        <v>44439</v>
      </c>
      <c r="C94" s="34" t="s">
        <v>1629</v>
      </c>
      <c r="D94" s="86">
        <f t="shared" si="1"/>
        <v>156</v>
      </c>
      <c r="E94" s="34">
        <v>3</v>
      </c>
      <c r="F94" s="34">
        <v>2</v>
      </c>
      <c r="G94" s="34">
        <v>1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0"/>
    </row>
    <row r="95" spans="1:20">
      <c r="A95" s="49" t="str">
        <f t="shared" si="2"/>
        <v>05069450</v>
      </c>
      <c r="B95" s="50">
        <f t="shared" si="2"/>
        <v>44439</v>
      </c>
      <c r="C95" s="34" t="s">
        <v>1992</v>
      </c>
      <c r="D95" s="86">
        <f t="shared" si="1"/>
        <v>164</v>
      </c>
      <c r="E95" s="34"/>
      <c r="F95" s="34">
        <v>24</v>
      </c>
      <c r="G95" s="34">
        <v>18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0"/>
    </row>
    <row r="96" spans="1:20">
      <c r="A96" s="49" t="str">
        <f t="shared" si="2"/>
        <v>05069450</v>
      </c>
      <c r="B96" s="50">
        <f t="shared" si="2"/>
        <v>44439</v>
      </c>
      <c r="C96" s="34" t="s">
        <v>2298</v>
      </c>
      <c r="D96" s="86">
        <f t="shared" si="1"/>
        <v>127</v>
      </c>
      <c r="E96" s="34"/>
      <c r="F96" s="34"/>
      <c r="G96" s="34">
        <v>2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0"/>
    </row>
    <row r="97" spans="1:20">
      <c r="A97" s="49" t="str">
        <f t="shared" si="2"/>
        <v>05069450</v>
      </c>
      <c r="B97" s="50">
        <f t="shared" si="2"/>
        <v>44439</v>
      </c>
      <c r="C97" s="34" t="s">
        <v>1863</v>
      </c>
      <c r="D97" s="86">
        <f t="shared" si="1"/>
        <v>140</v>
      </c>
      <c r="E97" s="34">
        <v>4</v>
      </c>
      <c r="F97" s="34"/>
      <c r="G97" s="34">
        <v>1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0"/>
    </row>
    <row r="98" spans="1:20">
      <c r="A98" s="49" t="str">
        <f t="shared" si="2"/>
        <v>05069450</v>
      </c>
      <c r="B98" s="50">
        <f t="shared" si="2"/>
        <v>44439</v>
      </c>
      <c r="C98" s="34" t="s">
        <v>1990</v>
      </c>
      <c r="D98" s="86">
        <f t="shared" si="1"/>
        <v>150</v>
      </c>
      <c r="E98" s="34">
        <v>8</v>
      </c>
      <c r="F98" s="34">
        <v>4</v>
      </c>
      <c r="G98" s="34">
        <v>8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0"/>
    </row>
    <row r="99" spans="1:20">
      <c r="A99" s="49" t="str">
        <f t="shared" si="2"/>
        <v>05069450</v>
      </c>
      <c r="B99" s="50">
        <f t="shared" si="2"/>
        <v>44439</v>
      </c>
      <c r="C99" s="34" t="s">
        <v>1789</v>
      </c>
      <c r="D99" s="86">
        <f t="shared" si="1"/>
        <v>268</v>
      </c>
      <c r="E99" s="34">
        <v>36</v>
      </c>
      <c r="F99" s="34">
        <v>40</v>
      </c>
      <c r="G99" s="34">
        <v>45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0"/>
    </row>
    <row r="100" spans="1:20">
      <c r="A100" s="49" t="str">
        <f t="shared" si="2"/>
        <v>05069450</v>
      </c>
      <c r="B100" s="50">
        <f t="shared" si="2"/>
        <v>44439</v>
      </c>
      <c r="C100" s="34" t="s">
        <v>6470</v>
      </c>
      <c r="D100" s="86">
        <f t="shared" si="1"/>
        <v>9812</v>
      </c>
      <c r="E100" s="34">
        <v>22</v>
      </c>
      <c r="F100" s="34">
        <v>13</v>
      </c>
      <c r="G100" s="34">
        <v>34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0"/>
    </row>
    <row r="101" spans="1:20">
      <c r="A101" s="49" t="str">
        <f t="shared" si="2"/>
        <v>05069450</v>
      </c>
      <c r="B101" s="50">
        <f t="shared" si="2"/>
        <v>44439</v>
      </c>
      <c r="C101" s="34" t="s">
        <v>10347</v>
      </c>
      <c r="D101" s="86">
        <f t="shared" si="1"/>
        <v>20359</v>
      </c>
      <c r="E101" s="34"/>
      <c r="F101" s="34">
        <v>1</v>
      </c>
      <c r="G101" s="34">
        <v>1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0"/>
    </row>
    <row r="102" spans="1:20">
      <c r="A102" s="49" t="str">
        <f t="shared" si="2"/>
        <v>05069450</v>
      </c>
      <c r="B102" s="50">
        <f t="shared" si="2"/>
        <v>44439</v>
      </c>
      <c r="C102" s="34" t="s">
        <v>2286</v>
      </c>
      <c r="D102" s="86">
        <f t="shared" si="1"/>
        <v>286</v>
      </c>
      <c r="E102" s="34">
        <v>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0"/>
    </row>
    <row r="103" spans="1:20">
      <c r="A103" s="49" t="str">
        <f t="shared" si="2"/>
        <v>05069450</v>
      </c>
      <c r="B103" s="50">
        <f t="shared" si="2"/>
        <v>44439</v>
      </c>
      <c r="C103" s="34" t="s">
        <v>4166</v>
      </c>
      <c r="D103" s="86">
        <f t="shared" si="1"/>
        <v>292</v>
      </c>
      <c r="E103" s="34">
        <v>4</v>
      </c>
      <c r="F103" s="34">
        <v>4</v>
      </c>
      <c r="G103" s="34">
        <v>14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0"/>
    </row>
    <row r="104" spans="1:20">
      <c r="A104" s="49" t="str">
        <f t="shared" si="2"/>
        <v>05069450</v>
      </c>
      <c r="B104" s="50">
        <f t="shared" si="2"/>
        <v>44439</v>
      </c>
      <c r="C104" s="34" t="s">
        <v>1562</v>
      </c>
      <c r="D104" s="86">
        <f t="shared" si="1"/>
        <v>221</v>
      </c>
      <c r="E104" s="34">
        <v>14</v>
      </c>
      <c r="F104" s="34">
        <v>18</v>
      </c>
      <c r="G104" s="34">
        <v>24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0"/>
    </row>
    <row r="105" spans="1:20">
      <c r="A105" s="49" t="str">
        <f t="shared" si="2"/>
        <v>05069450</v>
      </c>
      <c r="B105" s="50">
        <f t="shared" si="2"/>
        <v>44439</v>
      </c>
      <c r="C105" s="34" t="s">
        <v>2292</v>
      </c>
      <c r="D105" s="86">
        <f t="shared" si="1"/>
        <v>212</v>
      </c>
      <c r="E105" s="34">
        <v>65</v>
      </c>
      <c r="F105" s="34">
        <v>56</v>
      </c>
      <c r="G105" s="34">
        <v>126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0"/>
    </row>
    <row r="106" spans="1:20">
      <c r="A106" s="49" t="str">
        <f t="shared" si="2"/>
        <v>05069450</v>
      </c>
      <c r="B106" s="50">
        <f t="shared" si="2"/>
        <v>44439</v>
      </c>
      <c r="C106" s="34" t="s">
        <v>1884</v>
      </c>
      <c r="D106" s="86">
        <f t="shared" si="1"/>
        <v>200</v>
      </c>
      <c r="E106" s="34">
        <v>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0"/>
    </row>
    <row r="107" spans="1:20">
      <c r="A107" s="49" t="str">
        <f t="shared" si="2"/>
        <v>05069450</v>
      </c>
      <c r="B107" s="50">
        <f t="shared" si="2"/>
        <v>44439</v>
      </c>
      <c r="C107" s="34" t="s">
        <v>2283</v>
      </c>
      <c r="D107" s="86">
        <f t="shared" si="1"/>
        <v>304</v>
      </c>
      <c r="E107" s="34">
        <v>2</v>
      </c>
      <c r="F107" s="34"/>
      <c r="G107" s="34">
        <v>1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0"/>
    </row>
    <row r="108" spans="1:20">
      <c r="A108" s="49" t="str">
        <f t="shared" si="2"/>
        <v>05069450</v>
      </c>
      <c r="B108" s="50">
        <f t="shared" si="2"/>
        <v>44439</v>
      </c>
      <c r="C108" s="34" t="s">
        <v>1845</v>
      </c>
      <c r="D108" s="86">
        <f t="shared" si="1"/>
        <v>305</v>
      </c>
      <c r="E108" s="34"/>
      <c r="F108" s="34"/>
      <c r="G108" s="34">
        <v>1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0"/>
    </row>
    <row r="109" spans="1:20">
      <c r="A109" s="49" t="str">
        <f t="shared" ref="A109:B128" si="3">+A$88</f>
        <v>05069450</v>
      </c>
      <c r="B109" s="50">
        <f t="shared" si="3"/>
        <v>44439</v>
      </c>
      <c r="C109" s="34" t="s">
        <v>1419</v>
      </c>
      <c r="D109" s="86">
        <f t="shared" si="1"/>
        <v>320</v>
      </c>
      <c r="E109" s="34">
        <v>19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0"/>
    </row>
    <row r="110" spans="1:20">
      <c r="A110" s="49" t="str">
        <f t="shared" si="3"/>
        <v>05069450</v>
      </c>
      <c r="B110" s="50">
        <f t="shared" si="3"/>
        <v>44439</v>
      </c>
      <c r="C110" s="34" t="s">
        <v>1493</v>
      </c>
      <c r="D110" s="86">
        <f t="shared" si="1"/>
        <v>311</v>
      </c>
      <c r="E110" s="34"/>
      <c r="F110" s="34">
        <v>1</v>
      </c>
      <c r="G110" s="34">
        <v>3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0"/>
    </row>
    <row r="111" spans="1:20">
      <c r="A111" s="49" t="str">
        <f t="shared" si="3"/>
        <v>05069450</v>
      </c>
      <c r="B111" s="50">
        <f t="shared" si="3"/>
        <v>44439</v>
      </c>
      <c r="C111" s="34" t="s">
        <v>1971</v>
      </c>
      <c r="D111" s="86">
        <f t="shared" si="1"/>
        <v>312</v>
      </c>
      <c r="E111" s="34">
        <v>6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0"/>
    </row>
    <row r="112" spans="1:20">
      <c r="A112" s="49" t="str">
        <f t="shared" si="3"/>
        <v>05069450</v>
      </c>
      <c r="B112" s="50">
        <f t="shared" si="3"/>
        <v>44439</v>
      </c>
      <c r="C112" s="34" t="s">
        <v>11855</v>
      </c>
      <c r="D112" s="86">
        <f t="shared" si="1"/>
        <v>3163</v>
      </c>
      <c r="E112" s="34">
        <v>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0"/>
    </row>
    <row r="113" spans="1:20">
      <c r="A113" s="49" t="str">
        <f t="shared" si="3"/>
        <v>05069450</v>
      </c>
      <c r="B113" s="50">
        <f t="shared" si="3"/>
        <v>44439</v>
      </c>
      <c r="C113" s="34" t="s">
        <v>2290</v>
      </c>
      <c r="D113" s="86">
        <f t="shared" si="1"/>
        <v>231</v>
      </c>
      <c r="E113" s="34">
        <v>24</v>
      </c>
      <c r="F113" s="34">
        <v>2</v>
      </c>
      <c r="G113" s="34">
        <v>14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0"/>
    </row>
    <row r="114" spans="1:20">
      <c r="A114" s="49" t="str">
        <f t="shared" si="3"/>
        <v>05069450</v>
      </c>
      <c r="B114" s="50">
        <f t="shared" si="3"/>
        <v>44439</v>
      </c>
      <c r="C114" s="34" t="s">
        <v>2033</v>
      </c>
      <c r="D114" s="86">
        <f t="shared" si="1"/>
        <v>239</v>
      </c>
      <c r="E114" s="34"/>
      <c r="F114" s="34">
        <v>3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0"/>
    </row>
    <row r="115" spans="1:20">
      <c r="A115" s="49" t="str">
        <f t="shared" si="3"/>
        <v>05069450</v>
      </c>
      <c r="B115" s="50">
        <f t="shared" si="3"/>
        <v>44439</v>
      </c>
      <c r="C115" s="34" t="s">
        <v>2017</v>
      </c>
      <c r="D115" s="86">
        <f t="shared" si="1"/>
        <v>183</v>
      </c>
      <c r="E115" s="34">
        <v>8</v>
      </c>
      <c r="F115" s="34">
        <v>18</v>
      </c>
      <c r="G115" s="34">
        <v>18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0"/>
    </row>
    <row r="116" spans="1:20">
      <c r="A116" s="49" t="str">
        <f t="shared" si="3"/>
        <v>05069450</v>
      </c>
      <c r="B116" s="50">
        <f t="shared" si="3"/>
        <v>44439</v>
      </c>
      <c r="C116" s="34" t="s">
        <v>2281</v>
      </c>
      <c r="D116" s="86">
        <f t="shared" si="1"/>
        <v>321</v>
      </c>
      <c r="E116" s="34">
        <v>1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0"/>
    </row>
    <row r="117" spans="1:20" ht="15" customHeight="1">
      <c r="A117" s="49" t="str">
        <f t="shared" si="3"/>
        <v>05069450</v>
      </c>
      <c r="B117" s="50">
        <f t="shared" si="3"/>
        <v>44439</v>
      </c>
      <c r="C117" s="34" t="s">
        <v>2203</v>
      </c>
      <c r="D117" s="86">
        <f t="shared" si="1"/>
        <v>322</v>
      </c>
      <c r="E117" s="34">
        <v>2</v>
      </c>
      <c r="F117" s="34">
        <v>1</v>
      </c>
      <c r="G117" s="34">
        <v>1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0"/>
    </row>
    <row r="118" spans="1:20" ht="15" customHeight="1">
      <c r="A118" s="49" t="str">
        <f t="shared" si="3"/>
        <v>05069450</v>
      </c>
      <c r="B118" s="50">
        <f t="shared" si="3"/>
        <v>44439</v>
      </c>
      <c r="C118" s="34" t="s">
        <v>1481</v>
      </c>
      <c r="D118" s="86">
        <f t="shared" si="1"/>
        <v>364</v>
      </c>
      <c r="E118" s="34">
        <v>84</v>
      </c>
      <c r="F118" s="34">
        <v>53</v>
      </c>
      <c r="G118" s="34">
        <v>144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0"/>
    </row>
    <row r="119" spans="1:20">
      <c r="A119" s="49" t="str">
        <f t="shared" si="3"/>
        <v>05069450</v>
      </c>
      <c r="B119" s="50">
        <f t="shared" si="3"/>
        <v>44439</v>
      </c>
      <c r="C119" s="34" t="s">
        <v>1584</v>
      </c>
      <c r="D119" s="86">
        <f t="shared" si="1"/>
        <v>383</v>
      </c>
      <c r="E119" s="34">
        <v>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0"/>
    </row>
    <row r="120" spans="1:20">
      <c r="A120" s="49" t="str">
        <f t="shared" si="3"/>
        <v>05069450</v>
      </c>
      <c r="B120" s="50">
        <f t="shared" si="3"/>
        <v>44439</v>
      </c>
      <c r="C120" s="34" t="s">
        <v>1606</v>
      </c>
      <c r="D120" s="86">
        <f t="shared" ref="D120:D151" si="4">VLOOKUP(C120,Ref.Taxo.,2,0)</f>
        <v>457</v>
      </c>
      <c r="E120" s="34">
        <v>26</v>
      </c>
      <c r="F120" s="34">
        <v>17</v>
      </c>
      <c r="G120" s="34">
        <v>28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0"/>
    </row>
    <row r="121" spans="1:20">
      <c r="A121" s="49" t="str">
        <f t="shared" si="3"/>
        <v>05069450</v>
      </c>
      <c r="B121" s="50">
        <f t="shared" si="3"/>
        <v>44439</v>
      </c>
      <c r="C121" s="34" t="s">
        <v>5045</v>
      </c>
      <c r="D121" s="86">
        <f t="shared" si="4"/>
        <v>5152</v>
      </c>
      <c r="E121" s="34">
        <v>4</v>
      </c>
      <c r="F121" s="34">
        <v>2</v>
      </c>
      <c r="G121" s="34">
        <v>1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0"/>
    </row>
    <row r="122" spans="1:20">
      <c r="A122" s="49" t="str">
        <f t="shared" si="3"/>
        <v>05069450</v>
      </c>
      <c r="B122" s="50">
        <f t="shared" si="3"/>
        <v>44439</v>
      </c>
      <c r="C122" s="34" t="s">
        <v>2130</v>
      </c>
      <c r="D122" s="86">
        <f t="shared" si="4"/>
        <v>2391</v>
      </c>
      <c r="E122" s="34">
        <v>2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0"/>
    </row>
    <row r="123" spans="1:20">
      <c r="A123" s="49" t="str">
        <f t="shared" si="3"/>
        <v>05069450</v>
      </c>
      <c r="B123" s="50">
        <f t="shared" si="3"/>
        <v>44439</v>
      </c>
      <c r="C123" s="34" t="s">
        <v>4811</v>
      </c>
      <c r="D123" s="86">
        <f t="shared" si="4"/>
        <v>502</v>
      </c>
      <c r="E123" s="34">
        <v>1</v>
      </c>
      <c r="F123" s="34">
        <v>8</v>
      </c>
      <c r="G123" s="34">
        <v>12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0"/>
    </row>
    <row r="124" spans="1:20">
      <c r="A124" s="49" t="str">
        <f t="shared" si="3"/>
        <v>05069450</v>
      </c>
      <c r="B124" s="50">
        <f t="shared" si="3"/>
        <v>44439</v>
      </c>
      <c r="C124" s="34" t="s">
        <v>1761</v>
      </c>
      <c r="D124" s="86">
        <f t="shared" si="4"/>
        <v>399</v>
      </c>
      <c r="E124" s="34">
        <v>23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0"/>
    </row>
    <row r="125" spans="1:20">
      <c r="A125" s="49" t="str">
        <f t="shared" si="3"/>
        <v>05069450</v>
      </c>
      <c r="B125" s="50">
        <f t="shared" si="3"/>
        <v>44439</v>
      </c>
      <c r="C125" s="34" t="s">
        <v>1656</v>
      </c>
      <c r="D125" s="86">
        <f t="shared" si="4"/>
        <v>421</v>
      </c>
      <c r="E125" s="34">
        <v>8</v>
      </c>
      <c r="F125" s="34">
        <v>5</v>
      </c>
      <c r="G125" s="34">
        <v>48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0"/>
    </row>
    <row r="126" spans="1:20">
      <c r="A126" s="49" t="str">
        <f t="shared" si="3"/>
        <v>05069450</v>
      </c>
      <c r="B126" s="50">
        <f t="shared" si="3"/>
        <v>44439</v>
      </c>
      <c r="C126" s="34" t="s">
        <v>1662</v>
      </c>
      <c r="D126" s="86">
        <f t="shared" si="4"/>
        <v>3181</v>
      </c>
      <c r="E126" s="34">
        <v>1</v>
      </c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0"/>
    </row>
    <row r="127" spans="1:20">
      <c r="A127" s="49" t="str">
        <f t="shared" si="3"/>
        <v>05069450</v>
      </c>
      <c r="B127" s="50">
        <f t="shared" si="3"/>
        <v>44439</v>
      </c>
      <c r="C127" s="34" t="s">
        <v>1679</v>
      </c>
      <c r="D127" s="86">
        <f t="shared" si="4"/>
        <v>400</v>
      </c>
      <c r="E127" s="34">
        <v>3</v>
      </c>
      <c r="F127" s="34">
        <v>84</v>
      </c>
      <c r="G127" s="34">
        <v>20</v>
      </c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0"/>
    </row>
    <row r="128" spans="1:20">
      <c r="A128" s="49" t="str">
        <f t="shared" si="3"/>
        <v>05069450</v>
      </c>
      <c r="B128" s="50">
        <f t="shared" si="3"/>
        <v>44439</v>
      </c>
      <c r="C128" s="34" t="s">
        <v>1760</v>
      </c>
      <c r="D128" s="86">
        <f t="shared" si="4"/>
        <v>443</v>
      </c>
      <c r="E128" s="34"/>
      <c r="F128" s="34"/>
      <c r="G128" s="34">
        <v>1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0"/>
    </row>
    <row r="129" spans="1:20">
      <c r="A129" s="49" t="str">
        <f t="shared" ref="A129:B148" si="5">+A$88</f>
        <v>05069450</v>
      </c>
      <c r="B129" s="50">
        <f t="shared" si="5"/>
        <v>44439</v>
      </c>
      <c r="C129" s="34" t="s">
        <v>2019</v>
      </c>
      <c r="D129" s="86">
        <f t="shared" si="4"/>
        <v>404</v>
      </c>
      <c r="E129" s="34">
        <v>28</v>
      </c>
      <c r="F129" s="34">
        <v>79</v>
      </c>
      <c r="G129" s="34">
        <v>64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0"/>
    </row>
    <row r="130" spans="1:20">
      <c r="A130" s="49" t="str">
        <f t="shared" si="5"/>
        <v>05069450</v>
      </c>
      <c r="B130" s="50">
        <f t="shared" si="5"/>
        <v>44439</v>
      </c>
      <c r="C130" s="34" t="s">
        <v>1838</v>
      </c>
      <c r="D130" s="86">
        <f t="shared" si="4"/>
        <v>473</v>
      </c>
      <c r="E130" s="34">
        <v>13</v>
      </c>
      <c r="F130" s="34">
        <v>4</v>
      </c>
      <c r="G130" s="34">
        <v>7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0"/>
    </row>
    <row r="131" spans="1:20">
      <c r="A131" s="49" t="str">
        <f t="shared" si="5"/>
        <v>05069450</v>
      </c>
      <c r="B131" s="50">
        <f t="shared" si="5"/>
        <v>44439</v>
      </c>
      <c r="C131" s="34" t="s">
        <v>1724</v>
      </c>
      <c r="D131" s="86">
        <f t="shared" si="4"/>
        <v>485</v>
      </c>
      <c r="E131" s="34">
        <v>4</v>
      </c>
      <c r="F131" s="34">
        <v>1</v>
      </c>
      <c r="G131" s="34">
        <v>5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0"/>
    </row>
    <row r="132" spans="1:20">
      <c r="A132" s="49" t="str">
        <f t="shared" si="5"/>
        <v>05069450</v>
      </c>
      <c r="B132" s="50">
        <f t="shared" si="5"/>
        <v>44439</v>
      </c>
      <c r="C132" s="34" t="s">
        <v>2011</v>
      </c>
      <c r="D132" s="86">
        <f t="shared" si="4"/>
        <v>481</v>
      </c>
      <c r="E132" s="34">
        <v>5</v>
      </c>
      <c r="F132" s="34"/>
      <c r="G132" s="34">
        <v>1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0"/>
    </row>
    <row r="133" spans="1:20">
      <c r="A133" s="49" t="str">
        <f t="shared" si="5"/>
        <v>05069450</v>
      </c>
      <c r="B133" s="50">
        <f t="shared" si="5"/>
        <v>44439</v>
      </c>
      <c r="C133" s="34" t="s">
        <v>1508</v>
      </c>
      <c r="D133" s="86">
        <f t="shared" si="4"/>
        <v>721</v>
      </c>
      <c r="E133" s="34">
        <v>2</v>
      </c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0"/>
    </row>
    <row r="134" spans="1:20">
      <c r="A134" s="49" t="str">
        <f t="shared" si="5"/>
        <v>05069450</v>
      </c>
      <c r="B134" s="50">
        <f t="shared" si="5"/>
        <v>44439</v>
      </c>
      <c r="C134" s="34" t="s">
        <v>1772</v>
      </c>
      <c r="D134" s="86">
        <f t="shared" si="4"/>
        <v>740</v>
      </c>
      <c r="E134" s="34">
        <v>1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0"/>
    </row>
    <row r="135" spans="1:20">
      <c r="A135" s="49" t="str">
        <f t="shared" si="5"/>
        <v>05069450</v>
      </c>
      <c r="B135" s="50">
        <f t="shared" si="5"/>
        <v>44439</v>
      </c>
      <c r="C135" s="34" t="s">
        <v>1653</v>
      </c>
      <c r="D135" s="86">
        <f t="shared" si="4"/>
        <v>620</v>
      </c>
      <c r="E135" s="34">
        <v>26</v>
      </c>
      <c r="F135" s="34">
        <v>76</v>
      </c>
      <c r="G135" s="34">
        <v>120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0"/>
    </row>
    <row r="136" spans="1:20">
      <c r="A136" s="49" t="str">
        <f t="shared" si="5"/>
        <v>05069450</v>
      </c>
      <c r="B136" s="50">
        <f t="shared" si="5"/>
        <v>44439</v>
      </c>
      <c r="C136" s="34" t="s">
        <v>1669</v>
      </c>
      <c r="D136" s="86">
        <f t="shared" si="4"/>
        <v>618</v>
      </c>
      <c r="E136" s="34">
        <v>38</v>
      </c>
      <c r="F136" s="34">
        <v>6</v>
      </c>
      <c r="G136" s="34">
        <v>12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0"/>
    </row>
    <row r="137" spans="1:20">
      <c r="A137" s="49" t="str">
        <f t="shared" si="5"/>
        <v>05069450</v>
      </c>
      <c r="B137" s="50">
        <f t="shared" si="5"/>
        <v>44439</v>
      </c>
      <c r="C137" s="34" t="s">
        <v>1694</v>
      </c>
      <c r="D137" s="86">
        <f t="shared" si="4"/>
        <v>619</v>
      </c>
      <c r="E137" s="34">
        <v>13</v>
      </c>
      <c r="F137" s="34">
        <v>27</v>
      </c>
      <c r="G137" s="34">
        <v>28</v>
      </c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0"/>
    </row>
    <row r="138" spans="1:20">
      <c r="A138" s="49" t="str">
        <f t="shared" si="5"/>
        <v>05069450</v>
      </c>
      <c r="B138" s="50">
        <f t="shared" si="5"/>
        <v>44439</v>
      </c>
      <c r="C138" s="34" t="s">
        <v>1831</v>
      </c>
      <c r="D138" s="86">
        <f t="shared" si="4"/>
        <v>623</v>
      </c>
      <c r="E138" s="34"/>
      <c r="F138" s="34">
        <v>4</v>
      </c>
      <c r="G138" s="34">
        <v>8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0"/>
    </row>
    <row r="139" spans="1:20">
      <c r="A139" s="49" t="str">
        <f t="shared" si="5"/>
        <v>05069450</v>
      </c>
      <c r="B139" s="50">
        <f t="shared" si="5"/>
        <v>44439</v>
      </c>
      <c r="C139" s="34" t="s">
        <v>1925</v>
      </c>
      <c r="D139" s="86">
        <f t="shared" si="4"/>
        <v>515</v>
      </c>
      <c r="E139" s="34">
        <v>4</v>
      </c>
      <c r="F139" s="34"/>
      <c r="G139" s="34">
        <v>3</v>
      </c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0"/>
    </row>
    <row r="140" spans="1:20">
      <c r="A140" s="49" t="str">
        <f t="shared" si="5"/>
        <v>05069450</v>
      </c>
      <c r="B140" s="50">
        <f t="shared" si="5"/>
        <v>44439</v>
      </c>
      <c r="C140" s="34" t="s">
        <v>1775</v>
      </c>
      <c r="D140" s="86">
        <f t="shared" si="4"/>
        <v>608</v>
      </c>
      <c r="E140" s="34">
        <v>24</v>
      </c>
      <c r="F140" s="34">
        <v>8</v>
      </c>
      <c r="G140" s="34">
        <v>3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0"/>
    </row>
    <row r="141" spans="1:20">
      <c r="A141" s="49" t="str">
        <f t="shared" si="5"/>
        <v>05069450</v>
      </c>
      <c r="B141" s="50">
        <f t="shared" si="5"/>
        <v>44439</v>
      </c>
      <c r="C141" s="34" t="s">
        <v>1753</v>
      </c>
      <c r="D141" s="86">
        <f t="shared" si="4"/>
        <v>636</v>
      </c>
      <c r="E141" s="34"/>
      <c r="F141" s="34">
        <v>2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0"/>
    </row>
    <row r="142" spans="1:20">
      <c r="A142" s="49" t="str">
        <f t="shared" si="5"/>
        <v>05069450</v>
      </c>
      <c r="B142" s="50">
        <f t="shared" si="5"/>
        <v>44439</v>
      </c>
      <c r="C142" s="34" t="s">
        <v>1497</v>
      </c>
      <c r="D142" s="86">
        <f t="shared" si="4"/>
        <v>838</v>
      </c>
      <c r="E142" s="34">
        <v>3</v>
      </c>
      <c r="F142" s="34">
        <v>7</v>
      </c>
      <c r="G142" s="34">
        <v>6</v>
      </c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0"/>
    </row>
    <row r="143" spans="1:20">
      <c r="A143" s="49" t="str">
        <f t="shared" si="5"/>
        <v>05069450</v>
      </c>
      <c r="B143" s="50">
        <f t="shared" si="5"/>
        <v>44439</v>
      </c>
      <c r="C143" s="34" t="s">
        <v>4963</v>
      </c>
      <c r="D143" s="86">
        <f t="shared" si="4"/>
        <v>819</v>
      </c>
      <c r="E143" s="34">
        <v>26</v>
      </c>
      <c r="F143" s="34">
        <v>13</v>
      </c>
      <c r="G143" s="34">
        <v>9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0"/>
    </row>
    <row r="144" spans="1:20">
      <c r="A144" s="49" t="str">
        <f t="shared" si="5"/>
        <v>05069450</v>
      </c>
      <c r="B144" s="50">
        <f t="shared" si="5"/>
        <v>44439</v>
      </c>
      <c r="C144" s="34" t="s">
        <v>4965</v>
      </c>
      <c r="D144" s="86">
        <f t="shared" si="4"/>
        <v>807</v>
      </c>
      <c r="E144" s="34">
        <v>324</v>
      </c>
      <c r="F144" s="34">
        <v>180</v>
      </c>
      <c r="G144" s="34">
        <v>144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0"/>
    </row>
    <row r="145" spans="1:20">
      <c r="A145" s="49" t="str">
        <f t="shared" si="5"/>
        <v>05069450</v>
      </c>
      <c r="B145" s="50">
        <f t="shared" si="5"/>
        <v>44439</v>
      </c>
      <c r="C145" s="34" t="s">
        <v>4973</v>
      </c>
      <c r="D145" s="86">
        <f t="shared" si="4"/>
        <v>793</v>
      </c>
      <c r="E145" s="34">
        <v>28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0"/>
    </row>
    <row r="146" spans="1:20">
      <c r="A146" s="49" t="str">
        <f t="shared" si="5"/>
        <v>05069450</v>
      </c>
      <c r="B146" s="50">
        <f t="shared" si="5"/>
        <v>44439</v>
      </c>
      <c r="C146" s="34" t="s">
        <v>4960</v>
      </c>
      <c r="D146" s="86">
        <f t="shared" si="4"/>
        <v>831</v>
      </c>
      <c r="E146" s="34">
        <v>6</v>
      </c>
      <c r="F146" s="34"/>
      <c r="G146" s="34">
        <v>2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0"/>
    </row>
    <row r="147" spans="1:20">
      <c r="A147" s="49" t="str">
        <f t="shared" si="5"/>
        <v>05069450</v>
      </c>
      <c r="B147" s="50">
        <f t="shared" si="5"/>
        <v>44439</v>
      </c>
      <c r="C147" s="34" t="s">
        <v>4983</v>
      </c>
      <c r="D147" s="86">
        <f t="shared" si="4"/>
        <v>757</v>
      </c>
      <c r="E147" s="34">
        <v>24</v>
      </c>
      <c r="F147" s="34">
        <v>12</v>
      </c>
      <c r="G147" s="34">
        <v>5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0"/>
    </row>
    <row r="148" spans="1:20">
      <c r="A148" s="49" t="str">
        <f t="shared" si="5"/>
        <v>05069450</v>
      </c>
      <c r="B148" s="50">
        <f t="shared" si="5"/>
        <v>44439</v>
      </c>
      <c r="C148" s="34" t="s">
        <v>13996</v>
      </c>
      <c r="D148" s="86">
        <f t="shared" si="4"/>
        <v>20537</v>
      </c>
      <c r="E148" s="34">
        <v>1</v>
      </c>
      <c r="F148" s="34">
        <v>2</v>
      </c>
      <c r="G148" s="34">
        <v>1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0"/>
    </row>
    <row r="149" spans="1:20">
      <c r="A149" s="49" t="str">
        <f t="shared" ref="A149:B168" si="6">+A$88</f>
        <v>05069450</v>
      </c>
      <c r="B149" s="50">
        <f t="shared" si="6"/>
        <v>44439</v>
      </c>
      <c r="C149" s="34" t="s">
        <v>2194</v>
      </c>
      <c r="D149" s="86">
        <f t="shared" si="4"/>
        <v>801</v>
      </c>
      <c r="E149" s="34">
        <v>58</v>
      </c>
      <c r="F149" s="34">
        <v>92</v>
      </c>
      <c r="G149" s="34">
        <v>6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0"/>
    </row>
    <row r="150" spans="1:20">
      <c r="A150" s="49" t="str">
        <f t="shared" si="6"/>
        <v>05069450</v>
      </c>
      <c r="B150" s="50">
        <f t="shared" si="6"/>
        <v>44439</v>
      </c>
      <c r="C150" s="34" t="s">
        <v>1907</v>
      </c>
      <c r="D150" s="86">
        <f t="shared" si="4"/>
        <v>872</v>
      </c>
      <c r="E150" s="34">
        <v>1</v>
      </c>
      <c r="F150" s="34">
        <v>1</v>
      </c>
      <c r="G150" s="34">
        <v>1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0"/>
    </row>
    <row r="151" spans="1:20">
      <c r="A151" s="49" t="str">
        <f t="shared" si="6"/>
        <v>05069450</v>
      </c>
      <c r="B151" s="50">
        <f t="shared" si="6"/>
        <v>44439</v>
      </c>
      <c r="C151" s="34" t="s">
        <v>4937</v>
      </c>
      <c r="D151" s="86">
        <f t="shared" si="4"/>
        <v>892</v>
      </c>
      <c r="E151" s="34">
        <v>4</v>
      </c>
      <c r="F151" s="34">
        <v>1</v>
      </c>
      <c r="G151" s="34">
        <v>1</v>
      </c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0"/>
    </row>
    <row r="152" spans="1:20">
      <c r="A152" s="49" t="str">
        <f t="shared" si="6"/>
        <v>05069450</v>
      </c>
      <c r="B152" s="50">
        <f t="shared" si="6"/>
        <v>44439</v>
      </c>
      <c r="C152" s="34" t="s">
        <v>8631</v>
      </c>
      <c r="D152" s="86">
        <f t="shared" ref="D152:D183" si="7">VLOOKUP(C152,Ref.Taxo.,2,0)</f>
        <v>3206</v>
      </c>
      <c r="E152" s="34">
        <v>1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0"/>
    </row>
    <row r="153" spans="1:20">
      <c r="A153" s="49" t="str">
        <f t="shared" si="6"/>
        <v>05069450</v>
      </c>
      <c r="B153" s="50">
        <f t="shared" si="6"/>
        <v>44439</v>
      </c>
      <c r="C153" s="34" t="s">
        <v>11005</v>
      </c>
      <c r="D153" s="86">
        <f t="shared" si="7"/>
        <v>906</v>
      </c>
      <c r="E153" s="34">
        <v>1</v>
      </c>
      <c r="F153" s="34">
        <v>1</v>
      </c>
      <c r="G153" s="34">
        <v>1</v>
      </c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0"/>
    </row>
    <row r="154" spans="1:20">
      <c r="A154" s="49" t="str">
        <f t="shared" si="6"/>
        <v>05069450</v>
      </c>
      <c r="B154" s="50">
        <f t="shared" si="6"/>
        <v>44439</v>
      </c>
      <c r="C154" s="34" t="s">
        <v>4506</v>
      </c>
      <c r="D154" s="86">
        <f t="shared" si="7"/>
        <v>1042</v>
      </c>
      <c r="E154" s="34">
        <v>2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0"/>
    </row>
    <row r="155" spans="1:20">
      <c r="A155" s="49" t="str">
        <f t="shared" si="6"/>
        <v>05069450</v>
      </c>
      <c r="B155" s="50">
        <f t="shared" si="6"/>
        <v>44439</v>
      </c>
      <c r="C155" s="34" t="s">
        <v>4846</v>
      </c>
      <c r="D155" s="86">
        <f t="shared" si="7"/>
        <v>1043</v>
      </c>
      <c r="E155" s="34">
        <v>4</v>
      </c>
      <c r="F155" s="34">
        <v>2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0"/>
    </row>
    <row r="156" spans="1:20">
      <c r="A156" s="49" t="str">
        <f t="shared" si="6"/>
        <v>05069450</v>
      </c>
      <c r="B156" s="50">
        <f t="shared" si="6"/>
        <v>44439</v>
      </c>
      <c r="C156" s="34" t="s">
        <v>4859</v>
      </c>
      <c r="D156" s="86">
        <f t="shared" si="7"/>
        <v>1028</v>
      </c>
      <c r="E156" s="34">
        <v>16</v>
      </c>
      <c r="F156" s="34">
        <v>14</v>
      </c>
      <c r="G156" s="34">
        <v>28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0"/>
    </row>
    <row r="157" spans="1:20">
      <c r="A157" s="49" t="str">
        <f t="shared" si="6"/>
        <v>05069450</v>
      </c>
      <c r="B157" s="50">
        <f t="shared" si="6"/>
        <v>44439</v>
      </c>
      <c r="C157" s="34" t="s">
        <v>1450</v>
      </c>
      <c r="D157" s="86">
        <f t="shared" si="7"/>
        <v>5191</v>
      </c>
      <c r="E157" s="34">
        <v>57</v>
      </c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0"/>
    </row>
    <row r="158" spans="1:20">
      <c r="A158" s="49" t="str">
        <f t="shared" si="6"/>
        <v>05069450</v>
      </c>
      <c r="B158" s="50">
        <f t="shared" si="6"/>
        <v>44439</v>
      </c>
      <c r="C158" s="34" t="s">
        <v>4924</v>
      </c>
      <c r="D158" s="86">
        <f t="shared" si="7"/>
        <v>928</v>
      </c>
      <c r="E158" s="34"/>
      <c r="F158" s="34">
        <v>2</v>
      </c>
      <c r="G158" s="34">
        <v>1</v>
      </c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0"/>
    </row>
    <row r="159" spans="1:20">
      <c r="A159" s="49" t="str">
        <f t="shared" si="6"/>
        <v>05069450</v>
      </c>
      <c r="B159" s="50">
        <f t="shared" si="6"/>
        <v>44439</v>
      </c>
      <c r="C159" s="34" t="s">
        <v>4932</v>
      </c>
      <c r="D159" s="86">
        <f t="shared" si="7"/>
        <v>908</v>
      </c>
      <c r="E159" s="34">
        <v>1</v>
      </c>
      <c r="F159" s="34"/>
      <c r="G159" s="34">
        <v>0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0"/>
    </row>
    <row r="160" spans="1:20">
      <c r="A160" s="49" t="str">
        <f t="shared" si="6"/>
        <v>05069450</v>
      </c>
      <c r="B160" s="50">
        <f t="shared" si="6"/>
        <v>44439</v>
      </c>
      <c r="C160" s="34" t="s">
        <v>13412</v>
      </c>
      <c r="D160" s="86">
        <f t="shared" si="7"/>
        <v>933</v>
      </c>
      <c r="E160" s="34">
        <v>38</v>
      </c>
      <c r="F160" s="34">
        <v>240</v>
      </c>
      <c r="G160" s="34">
        <v>132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0"/>
    </row>
    <row r="161" spans="1:20">
      <c r="A161" s="49" t="str">
        <f t="shared" si="6"/>
        <v>05069450</v>
      </c>
      <c r="B161" s="50">
        <f t="shared" si="6"/>
        <v>44439</v>
      </c>
      <c r="C161" s="34" t="s">
        <v>16308</v>
      </c>
      <c r="D161" s="86">
        <f t="shared" si="7"/>
        <v>1054</v>
      </c>
      <c r="E161" s="34"/>
      <c r="F161" s="34">
        <v>3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0"/>
    </row>
    <row r="162" spans="1:20">
      <c r="A162" s="49" t="str">
        <f t="shared" si="6"/>
        <v>05069450</v>
      </c>
      <c r="B162" s="50">
        <f t="shared" si="6"/>
        <v>44439</v>
      </c>
      <c r="C162" s="34" t="s">
        <v>13005</v>
      </c>
      <c r="D162" s="86">
        <f t="shared" si="7"/>
        <v>3111</v>
      </c>
      <c r="E162" s="34">
        <v>1</v>
      </c>
      <c r="F162" s="34">
        <v>1</v>
      </c>
      <c r="G162" s="34">
        <v>1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0"/>
    </row>
    <row r="163" spans="1:20">
      <c r="A163" s="49" t="str">
        <f t="shared" si="6"/>
        <v>05069450</v>
      </c>
      <c r="B163" s="50">
        <f t="shared" si="6"/>
        <v>44439</v>
      </c>
      <c r="C163" s="34" t="s">
        <v>7779</v>
      </c>
      <c r="D163" s="86">
        <f t="shared" si="7"/>
        <v>1087</v>
      </c>
      <c r="E163" s="34">
        <v>1</v>
      </c>
      <c r="F163" s="34">
        <v>1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0"/>
    </row>
    <row r="164" spans="1:20">
      <c r="A164" s="49" t="str">
        <f t="shared" si="6"/>
        <v>05069450</v>
      </c>
      <c r="B164" s="50">
        <f t="shared" si="6"/>
        <v>44439</v>
      </c>
      <c r="C164" s="34"/>
      <c r="D164" s="86" t="e">
        <f t="shared" si="7"/>
        <v>#N/A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0"/>
    </row>
    <row r="165" spans="1:20">
      <c r="A165" s="49" t="str">
        <f t="shared" si="6"/>
        <v>05069450</v>
      </c>
      <c r="B165" s="50">
        <f t="shared" si="6"/>
        <v>44439</v>
      </c>
      <c r="C165" s="34"/>
      <c r="D165" s="86" t="e">
        <f t="shared" si="7"/>
        <v>#N/A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0"/>
    </row>
    <row r="166" spans="1:20">
      <c r="A166" s="49" t="str">
        <f t="shared" si="6"/>
        <v>05069450</v>
      </c>
      <c r="B166" s="50">
        <f t="shared" si="6"/>
        <v>44439</v>
      </c>
      <c r="C166" s="34"/>
      <c r="D166" s="86" t="e">
        <f t="shared" si="7"/>
        <v>#N/A</v>
      </c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0"/>
    </row>
    <row r="167" spans="1:20">
      <c r="A167" s="49" t="str">
        <f t="shared" si="6"/>
        <v>05069450</v>
      </c>
      <c r="B167" s="50">
        <f t="shared" si="6"/>
        <v>44439</v>
      </c>
      <c r="C167" s="34"/>
      <c r="D167" s="86" t="e">
        <f t="shared" si="7"/>
        <v>#N/A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0"/>
    </row>
    <row r="168" spans="1:20">
      <c r="A168" s="49" t="str">
        <f t="shared" si="6"/>
        <v>05069450</v>
      </c>
      <c r="B168" s="50">
        <f t="shared" si="6"/>
        <v>44439</v>
      </c>
      <c r="C168" s="34"/>
      <c r="D168" s="86" t="e">
        <f t="shared" si="7"/>
        <v>#N/A</v>
      </c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0"/>
    </row>
    <row r="169" spans="1:20">
      <c r="A169" s="49" t="str">
        <f t="shared" ref="A169:B188" si="8">+A$88</f>
        <v>05069450</v>
      </c>
      <c r="B169" s="50">
        <f t="shared" si="8"/>
        <v>44439</v>
      </c>
      <c r="C169" s="34"/>
      <c r="D169" s="86" t="e">
        <f t="shared" si="7"/>
        <v>#N/A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0"/>
    </row>
    <row r="170" spans="1:20">
      <c r="A170" s="49" t="str">
        <f t="shared" si="8"/>
        <v>05069450</v>
      </c>
      <c r="B170" s="50">
        <f t="shared" si="8"/>
        <v>44439</v>
      </c>
      <c r="C170" s="34"/>
      <c r="D170" s="86" t="e">
        <f t="shared" si="7"/>
        <v>#N/A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0"/>
    </row>
    <row r="171" spans="1:20">
      <c r="A171" s="49" t="str">
        <f t="shared" si="8"/>
        <v>05069450</v>
      </c>
      <c r="B171" s="50">
        <f t="shared" si="8"/>
        <v>44439</v>
      </c>
      <c r="C171" s="34"/>
      <c r="D171" s="86" t="e">
        <f t="shared" si="7"/>
        <v>#N/A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0"/>
    </row>
    <row r="172" spans="1:20">
      <c r="A172" s="49" t="str">
        <f t="shared" si="8"/>
        <v>05069450</v>
      </c>
      <c r="B172" s="50">
        <f t="shared" si="8"/>
        <v>44439</v>
      </c>
      <c r="C172" s="34"/>
      <c r="D172" s="86" t="e">
        <f t="shared" si="7"/>
        <v>#N/A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0"/>
    </row>
    <row r="173" spans="1:20">
      <c r="A173" s="49" t="str">
        <f t="shared" si="8"/>
        <v>05069450</v>
      </c>
      <c r="B173" s="50">
        <f t="shared" si="8"/>
        <v>44439</v>
      </c>
      <c r="C173" s="34"/>
      <c r="D173" s="86" t="e">
        <f t="shared" si="7"/>
        <v>#N/A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0"/>
    </row>
    <row r="174" spans="1:20">
      <c r="A174" s="49" t="str">
        <f t="shared" si="8"/>
        <v>05069450</v>
      </c>
      <c r="B174" s="50">
        <f t="shared" si="8"/>
        <v>44439</v>
      </c>
      <c r="C174" s="34"/>
      <c r="D174" s="86" t="e">
        <f t="shared" si="7"/>
        <v>#N/A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0"/>
    </row>
    <row r="175" spans="1:20">
      <c r="A175" s="49" t="str">
        <f t="shared" si="8"/>
        <v>05069450</v>
      </c>
      <c r="B175" s="50">
        <f t="shared" si="8"/>
        <v>44439</v>
      </c>
      <c r="C175" s="34"/>
      <c r="D175" s="86" t="e">
        <f t="shared" si="7"/>
        <v>#N/A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0"/>
    </row>
    <row r="176" spans="1:20">
      <c r="A176" s="49" t="str">
        <f t="shared" si="8"/>
        <v>05069450</v>
      </c>
      <c r="B176" s="50">
        <f t="shared" si="8"/>
        <v>44439</v>
      </c>
      <c r="C176" s="34"/>
      <c r="D176" s="86" t="e">
        <f t="shared" si="7"/>
        <v>#N/A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0"/>
    </row>
    <row r="177" spans="1:20">
      <c r="A177" s="49" t="str">
        <f t="shared" si="8"/>
        <v>05069450</v>
      </c>
      <c r="B177" s="50">
        <f t="shared" si="8"/>
        <v>44439</v>
      </c>
      <c r="C177" s="34"/>
      <c r="D177" s="86" t="e">
        <f t="shared" si="7"/>
        <v>#N/A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0"/>
    </row>
    <row r="178" spans="1:20">
      <c r="A178" s="49" t="str">
        <f t="shared" si="8"/>
        <v>05069450</v>
      </c>
      <c r="B178" s="50">
        <f t="shared" si="8"/>
        <v>44439</v>
      </c>
      <c r="C178" s="34"/>
      <c r="D178" s="86" t="e">
        <f t="shared" si="7"/>
        <v>#N/A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0"/>
    </row>
    <row r="179" spans="1:20">
      <c r="A179" s="49" t="str">
        <f t="shared" si="8"/>
        <v>05069450</v>
      </c>
      <c r="B179" s="50">
        <f t="shared" si="8"/>
        <v>44439</v>
      </c>
      <c r="C179" s="34"/>
      <c r="D179" s="86" t="e">
        <f t="shared" si="7"/>
        <v>#N/A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0"/>
    </row>
    <row r="180" spans="1:20">
      <c r="A180" s="49" t="str">
        <f t="shared" si="8"/>
        <v>05069450</v>
      </c>
      <c r="B180" s="50">
        <f t="shared" si="8"/>
        <v>44439</v>
      </c>
      <c r="C180" s="34"/>
      <c r="D180" s="86" t="e">
        <f t="shared" si="7"/>
        <v>#N/A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0"/>
    </row>
    <row r="181" spans="1:20">
      <c r="A181" s="49" t="str">
        <f t="shared" si="8"/>
        <v>05069450</v>
      </c>
      <c r="B181" s="50">
        <f t="shared" si="8"/>
        <v>44439</v>
      </c>
      <c r="C181" s="34"/>
      <c r="D181" s="86" t="e">
        <f t="shared" si="7"/>
        <v>#N/A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0"/>
    </row>
    <row r="182" spans="1:20">
      <c r="A182" s="49" t="str">
        <f t="shared" si="8"/>
        <v>05069450</v>
      </c>
      <c r="B182" s="50">
        <f t="shared" si="8"/>
        <v>44439</v>
      </c>
      <c r="C182" s="34"/>
      <c r="D182" s="86" t="e">
        <f t="shared" si="7"/>
        <v>#N/A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0"/>
    </row>
    <row r="183" spans="1:20">
      <c r="A183" s="49" t="str">
        <f t="shared" si="8"/>
        <v>05069450</v>
      </c>
      <c r="B183" s="50">
        <f t="shared" si="8"/>
        <v>44439</v>
      </c>
      <c r="C183" s="34"/>
      <c r="D183" s="86" t="e">
        <f t="shared" si="7"/>
        <v>#N/A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0"/>
    </row>
    <row r="184" spans="1:20">
      <c r="A184" s="49" t="str">
        <f t="shared" si="8"/>
        <v>05069450</v>
      </c>
      <c r="B184" s="50">
        <f t="shared" si="8"/>
        <v>44439</v>
      </c>
      <c r="C184" s="34"/>
      <c r="D184" s="86" t="e">
        <f t="shared" ref="D184:D215" si="9">VLOOKUP(C184,Ref.Taxo.,2,0)</f>
        <v>#N/A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0"/>
    </row>
    <row r="185" spans="1:20">
      <c r="A185" s="49" t="str">
        <f t="shared" si="8"/>
        <v>05069450</v>
      </c>
      <c r="B185" s="50">
        <f t="shared" si="8"/>
        <v>44439</v>
      </c>
      <c r="C185" s="34"/>
      <c r="D185" s="86" t="e">
        <f t="shared" si="9"/>
        <v>#N/A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0"/>
    </row>
    <row r="186" spans="1:20">
      <c r="A186" s="49" t="str">
        <f t="shared" si="8"/>
        <v>05069450</v>
      </c>
      <c r="B186" s="50">
        <f t="shared" si="8"/>
        <v>44439</v>
      </c>
      <c r="C186" s="34"/>
      <c r="D186" s="86" t="e">
        <f t="shared" si="9"/>
        <v>#N/A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0"/>
    </row>
    <row r="187" spans="1:20">
      <c r="A187" s="49" t="str">
        <f t="shared" si="8"/>
        <v>05069450</v>
      </c>
      <c r="B187" s="50">
        <f t="shared" si="8"/>
        <v>44439</v>
      </c>
      <c r="C187" s="34"/>
      <c r="D187" s="86" t="e">
        <f t="shared" si="9"/>
        <v>#N/A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0"/>
    </row>
    <row r="188" spans="1:20">
      <c r="A188" s="49" t="str">
        <f t="shared" si="8"/>
        <v>05069450</v>
      </c>
      <c r="B188" s="50">
        <f t="shared" si="8"/>
        <v>44439</v>
      </c>
      <c r="C188" s="34"/>
      <c r="D188" s="86" t="e">
        <f t="shared" si="9"/>
        <v>#N/A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0"/>
    </row>
    <row r="189" spans="1:20">
      <c r="A189" s="49" t="str">
        <f t="shared" ref="A189:B208" si="10">+A$88</f>
        <v>05069450</v>
      </c>
      <c r="B189" s="50">
        <f t="shared" si="10"/>
        <v>44439</v>
      </c>
      <c r="C189" s="34"/>
      <c r="D189" s="86" t="e">
        <f t="shared" si="9"/>
        <v>#N/A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0"/>
    </row>
    <row r="190" spans="1:20">
      <c r="A190" s="49" t="str">
        <f t="shared" si="10"/>
        <v>05069450</v>
      </c>
      <c r="B190" s="50">
        <f t="shared" si="10"/>
        <v>44439</v>
      </c>
      <c r="C190" s="34"/>
      <c r="D190" s="86" t="e">
        <f t="shared" si="9"/>
        <v>#N/A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0"/>
    </row>
    <row r="191" spans="1:20">
      <c r="A191" s="49" t="str">
        <f t="shared" si="10"/>
        <v>05069450</v>
      </c>
      <c r="B191" s="50">
        <f t="shared" si="10"/>
        <v>44439</v>
      </c>
      <c r="C191" s="34"/>
      <c r="D191" s="86" t="e">
        <f t="shared" si="9"/>
        <v>#N/A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0"/>
    </row>
    <row r="192" spans="1:20">
      <c r="A192" s="49" t="str">
        <f t="shared" si="10"/>
        <v>05069450</v>
      </c>
      <c r="B192" s="50">
        <f t="shared" si="10"/>
        <v>44439</v>
      </c>
      <c r="C192" s="34"/>
      <c r="D192" s="86" t="e">
        <f t="shared" si="9"/>
        <v>#N/A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0"/>
    </row>
    <row r="193" spans="1:20">
      <c r="A193" s="49" t="str">
        <f t="shared" si="10"/>
        <v>05069450</v>
      </c>
      <c r="B193" s="50">
        <f t="shared" si="10"/>
        <v>44439</v>
      </c>
      <c r="C193" s="34"/>
      <c r="D193" s="86" t="e">
        <f t="shared" si="9"/>
        <v>#N/A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0"/>
    </row>
    <row r="194" spans="1:20">
      <c r="A194" s="49" t="str">
        <f t="shared" si="10"/>
        <v>05069450</v>
      </c>
      <c r="B194" s="50">
        <f t="shared" si="10"/>
        <v>44439</v>
      </c>
      <c r="C194" s="34"/>
      <c r="D194" s="86" t="e">
        <f t="shared" si="9"/>
        <v>#N/A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0"/>
    </row>
    <row r="195" spans="1:20">
      <c r="A195" s="49" t="str">
        <f t="shared" si="10"/>
        <v>05069450</v>
      </c>
      <c r="B195" s="50">
        <f t="shared" si="10"/>
        <v>44439</v>
      </c>
      <c r="C195" s="34"/>
      <c r="D195" s="86" t="e">
        <f t="shared" si="9"/>
        <v>#N/A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0"/>
    </row>
    <row r="196" spans="1:20">
      <c r="A196" s="49" t="str">
        <f t="shared" si="10"/>
        <v>05069450</v>
      </c>
      <c r="B196" s="50">
        <f t="shared" si="10"/>
        <v>44439</v>
      </c>
      <c r="C196" s="34"/>
      <c r="D196" s="86" t="e">
        <f t="shared" si="9"/>
        <v>#N/A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0"/>
    </row>
    <row r="197" spans="1:20">
      <c r="A197" s="49" t="str">
        <f t="shared" si="10"/>
        <v>05069450</v>
      </c>
      <c r="B197" s="50">
        <f t="shared" si="10"/>
        <v>44439</v>
      </c>
      <c r="C197" s="34"/>
      <c r="D197" s="86" t="e">
        <f t="shared" si="9"/>
        <v>#N/A</v>
      </c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0"/>
    </row>
    <row r="198" spans="1:20">
      <c r="A198" s="49" t="str">
        <f t="shared" si="10"/>
        <v>05069450</v>
      </c>
      <c r="B198" s="50">
        <f t="shared" si="10"/>
        <v>44439</v>
      </c>
      <c r="C198" s="34"/>
      <c r="D198" s="86" t="e">
        <f t="shared" si="9"/>
        <v>#N/A</v>
      </c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0"/>
    </row>
    <row r="199" spans="1:20">
      <c r="A199" s="49" t="str">
        <f t="shared" si="10"/>
        <v>05069450</v>
      </c>
      <c r="B199" s="50">
        <f t="shared" si="10"/>
        <v>44439</v>
      </c>
      <c r="C199" s="34"/>
      <c r="D199" s="86" t="e">
        <f t="shared" si="9"/>
        <v>#N/A</v>
      </c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0"/>
    </row>
    <row r="200" spans="1:20">
      <c r="A200" s="49" t="str">
        <f t="shared" si="10"/>
        <v>05069450</v>
      </c>
      <c r="B200" s="50">
        <f t="shared" si="10"/>
        <v>44439</v>
      </c>
      <c r="C200" s="34"/>
      <c r="D200" s="86" t="e">
        <f t="shared" si="9"/>
        <v>#N/A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0"/>
    </row>
    <row r="201" spans="1:20">
      <c r="A201" s="49" t="str">
        <f t="shared" si="10"/>
        <v>05069450</v>
      </c>
      <c r="B201" s="50">
        <f t="shared" si="10"/>
        <v>44439</v>
      </c>
      <c r="C201" s="34"/>
      <c r="D201" s="86" t="e">
        <f t="shared" si="9"/>
        <v>#N/A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0"/>
    </row>
    <row r="202" spans="1:20">
      <c r="A202" s="49" t="str">
        <f t="shared" si="10"/>
        <v>05069450</v>
      </c>
      <c r="B202" s="50">
        <f t="shared" si="10"/>
        <v>44439</v>
      </c>
      <c r="C202" s="34"/>
      <c r="D202" s="86" t="e">
        <f t="shared" si="9"/>
        <v>#N/A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0"/>
    </row>
    <row r="203" spans="1:20">
      <c r="A203" s="49" t="str">
        <f t="shared" si="10"/>
        <v>05069450</v>
      </c>
      <c r="B203" s="50">
        <f t="shared" si="10"/>
        <v>44439</v>
      </c>
      <c r="C203" s="34"/>
      <c r="D203" s="86" t="e">
        <f t="shared" si="9"/>
        <v>#N/A</v>
      </c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0"/>
    </row>
    <row r="204" spans="1:20">
      <c r="A204" s="49" t="str">
        <f t="shared" si="10"/>
        <v>05069450</v>
      </c>
      <c r="B204" s="50">
        <f t="shared" si="10"/>
        <v>44439</v>
      </c>
      <c r="C204" s="34"/>
      <c r="D204" s="86" t="e">
        <f t="shared" si="9"/>
        <v>#N/A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0"/>
    </row>
    <row r="205" spans="1:20">
      <c r="A205" s="49" t="str">
        <f t="shared" si="10"/>
        <v>05069450</v>
      </c>
      <c r="B205" s="50">
        <f t="shared" si="10"/>
        <v>44439</v>
      </c>
      <c r="C205" s="34"/>
      <c r="D205" s="86" t="e">
        <f t="shared" si="9"/>
        <v>#N/A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0"/>
    </row>
    <row r="206" spans="1:20">
      <c r="A206" s="49" t="str">
        <f t="shared" si="10"/>
        <v>05069450</v>
      </c>
      <c r="B206" s="50">
        <f t="shared" si="10"/>
        <v>44439</v>
      </c>
      <c r="C206" s="34"/>
      <c r="D206" s="86" t="e">
        <f t="shared" si="9"/>
        <v>#N/A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0"/>
    </row>
    <row r="207" spans="1:20">
      <c r="A207" s="49" t="str">
        <f t="shared" si="10"/>
        <v>05069450</v>
      </c>
      <c r="B207" s="50">
        <f t="shared" si="10"/>
        <v>44439</v>
      </c>
      <c r="C207" s="34"/>
      <c r="D207" s="86" t="e">
        <f t="shared" si="9"/>
        <v>#N/A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0"/>
    </row>
    <row r="208" spans="1:20">
      <c r="A208" s="49" t="str">
        <f t="shared" si="10"/>
        <v>05069450</v>
      </c>
      <c r="B208" s="50">
        <f t="shared" si="10"/>
        <v>44439</v>
      </c>
      <c r="C208" s="34"/>
      <c r="D208" s="86" t="e">
        <f t="shared" si="9"/>
        <v>#N/A</v>
      </c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0"/>
    </row>
    <row r="209" spans="1:20">
      <c r="A209" s="49" t="str">
        <f t="shared" ref="A209:B228" si="11">+A$88</f>
        <v>05069450</v>
      </c>
      <c r="B209" s="50">
        <f t="shared" si="11"/>
        <v>44439</v>
      </c>
      <c r="C209" s="34"/>
      <c r="D209" s="86" t="e">
        <f t="shared" si="9"/>
        <v>#N/A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0"/>
    </row>
    <row r="210" spans="1:20">
      <c r="A210" s="49" t="str">
        <f t="shared" si="11"/>
        <v>05069450</v>
      </c>
      <c r="B210" s="50">
        <f t="shared" si="11"/>
        <v>44439</v>
      </c>
      <c r="C210" s="34"/>
      <c r="D210" s="86" t="e">
        <f t="shared" si="9"/>
        <v>#N/A</v>
      </c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0"/>
    </row>
    <row r="211" spans="1:20">
      <c r="A211" s="49" t="str">
        <f t="shared" si="11"/>
        <v>05069450</v>
      </c>
      <c r="B211" s="50">
        <f t="shared" si="11"/>
        <v>44439</v>
      </c>
      <c r="C211" s="34"/>
      <c r="D211" s="86" t="e">
        <f t="shared" si="9"/>
        <v>#N/A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0"/>
    </row>
    <row r="212" spans="1:20">
      <c r="A212" s="49" t="str">
        <f t="shared" si="11"/>
        <v>05069450</v>
      </c>
      <c r="B212" s="50">
        <f t="shared" si="11"/>
        <v>44439</v>
      </c>
      <c r="C212" s="34"/>
      <c r="D212" s="86" t="e">
        <f t="shared" si="9"/>
        <v>#N/A</v>
      </c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0"/>
    </row>
    <row r="213" spans="1:20">
      <c r="A213" s="49" t="str">
        <f t="shared" si="11"/>
        <v>05069450</v>
      </c>
      <c r="B213" s="50">
        <f t="shared" si="11"/>
        <v>44439</v>
      </c>
      <c r="C213" s="34"/>
      <c r="D213" s="86" t="e">
        <f t="shared" si="9"/>
        <v>#N/A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0"/>
    </row>
    <row r="214" spans="1:20">
      <c r="A214" s="49" t="str">
        <f t="shared" si="11"/>
        <v>05069450</v>
      </c>
      <c r="B214" s="50">
        <f t="shared" si="11"/>
        <v>44439</v>
      </c>
      <c r="C214" s="34"/>
      <c r="D214" s="86" t="e">
        <f t="shared" si="9"/>
        <v>#N/A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0"/>
    </row>
    <row r="215" spans="1:20">
      <c r="A215" s="49" t="str">
        <f t="shared" si="11"/>
        <v>05069450</v>
      </c>
      <c r="B215" s="50">
        <f t="shared" si="11"/>
        <v>44439</v>
      </c>
      <c r="C215" s="34"/>
      <c r="D215" s="86" t="e">
        <f t="shared" si="9"/>
        <v>#N/A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0"/>
    </row>
    <row r="216" spans="1:20">
      <c r="A216" s="49" t="str">
        <f t="shared" si="11"/>
        <v>05069450</v>
      </c>
      <c r="B216" s="50">
        <f t="shared" si="11"/>
        <v>44439</v>
      </c>
      <c r="C216" s="34"/>
      <c r="D216" s="86" t="e">
        <f t="shared" ref="D216:D243" si="12">VLOOKUP(C216,Ref.Taxo.,2,0)</f>
        <v>#N/A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0"/>
    </row>
    <row r="217" spans="1:20">
      <c r="A217" s="49" t="str">
        <f t="shared" si="11"/>
        <v>05069450</v>
      </c>
      <c r="B217" s="50">
        <f t="shared" si="11"/>
        <v>44439</v>
      </c>
      <c r="C217" s="34"/>
      <c r="D217" s="86" t="e">
        <f t="shared" si="12"/>
        <v>#N/A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0"/>
    </row>
    <row r="218" spans="1:20">
      <c r="A218" s="49" t="str">
        <f t="shared" si="11"/>
        <v>05069450</v>
      </c>
      <c r="B218" s="50">
        <f t="shared" si="11"/>
        <v>44439</v>
      </c>
      <c r="C218" s="34"/>
      <c r="D218" s="86" t="e">
        <f t="shared" si="12"/>
        <v>#N/A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0"/>
    </row>
    <row r="219" spans="1:20">
      <c r="A219" s="49" t="str">
        <f t="shared" si="11"/>
        <v>05069450</v>
      </c>
      <c r="B219" s="50">
        <f t="shared" si="11"/>
        <v>44439</v>
      </c>
      <c r="C219" s="34"/>
      <c r="D219" s="86" t="e">
        <f t="shared" si="12"/>
        <v>#N/A</v>
      </c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0"/>
    </row>
    <row r="220" spans="1:20">
      <c r="A220" s="49" t="str">
        <f t="shared" si="11"/>
        <v>05069450</v>
      </c>
      <c r="B220" s="50">
        <f t="shared" si="11"/>
        <v>44439</v>
      </c>
      <c r="C220" s="34"/>
      <c r="D220" s="86" t="e">
        <f t="shared" si="12"/>
        <v>#N/A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0"/>
    </row>
    <row r="221" spans="1:20">
      <c r="A221" s="49" t="str">
        <f t="shared" si="11"/>
        <v>05069450</v>
      </c>
      <c r="B221" s="50">
        <f t="shared" si="11"/>
        <v>44439</v>
      </c>
      <c r="C221" s="34"/>
      <c r="D221" s="86" t="e">
        <f t="shared" si="12"/>
        <v>#N/A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0"/>
    </row>
    <row r="222" spans="1:20">
      <c r="A222" s="49" t="str">
        <f t="shared" si="11"/>
        <v>05069450</v>
      </c>
      <c r="B222" s="50">
        <f t="shared" si="11"/>
        <v>44439</v>
      </c>
      <c r="C222" s="34"/>
      <c r="D222" s="86" t="e">
        <f t="shared" si="12"/>
        <v>#N/A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0"/>
    </row>
    <row r="223" spans="1:20">
      <c r="A223" s="49" t="str">
        <f t="shared" si="11"/>
        <v>05069450</v>
      </c>
      <c r="B223" s="50">
        <f t="shared" si="11"/>
        <v>44439</v>
      </c>
      <c r="C223" s="34"/>
      <c r="D223" s="86" t="e">
        <f t="shared" si="12"/>
        <v>#N/A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0"/>
    </row>
    <row r="224" spans="1:20">
      <c r="A224" s="49" t="str">
        <f t="shared" si="11"/>
        <v>05069450</v>
      </c>
      <c r="B224" s="50">
        <f t="shared" si="11"/>
        <v>44439</v>
      </c>
      <c r="C224" s="34"/>
      <c r="D224" s="86" t="e">
        <f t="shared" si="12"/>
        <v>#N/A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0"/>
    </row>
    <row r="225" spans="1:20">
      <c r="A225" s="49" t="str">
        <f t="shared" si="11"/>
        <v>05069450</v>
      </c>
      <c r="B225" s="50">
        <f t="shared" si="11"/>
        <v>44439</v>
      </c>
      <c r="C225" s="34"/>
      <c r="D225" s="86" t="e">
        <f t="shared" si="12"/>
        <v>#N/A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0"/>
    </row>
    <row r="226" spans="1:20">
      <c r="A226" s="49" t="str">
        <f t="shared" si="11"/>
        <v>05069450</v>
      </c>
      <c r="B226" s="50">
        <f t="shared" si="11"/>
        <v>44439</v>
      </c>
      <c r="C226" s="34"/>
      <c r="D226" s="86" t="e">
        <f t="shared" si="12"/>
        <v>#N/A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0"/>
    </row>
    <row r="227" spans="1:20">
      <c r="A227" s="49" t="str">
        <f t="shared" si="11"/>
        <v>05069450</v>
      </c>
      <c r="B227" s="50">
        <f t="shared" si="11"/>
        <v>44439</v>
      </c>
      <c r="C227" s="34"/>
      <c r="D227" s="86" t="e">
        <f t="shared" si="12"/>
        <v>#N/A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0"/>
    </row>
    <row r="228" spans="1:20">
      <c r="A228" s="49" t="str">
        <f t="shared" si="11"/>
        <v>05069450</v>
      </c>
      <c r="B228" s="50">
        <f t="shared" si="11"/>
        <v>44439</v>
      </c>
      <c r="C228" s="34"/>
      <c r="D228" s="86" t="e">
        <f t="shared" si="12"/>
        <v>#N/A</v>
      </c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0"/>
    </row>
    <row r="229" spans="1:20">
      <c r="A229" s="49" t="str">
        <f t="shared" ref="A229:B243" si="13">+A$88</f>
        <v>05069450</v>
      </c>
      <c r="B229" s="50">
        <f t="shared" si="13"/>
        <v>44439</v>
      </c>
      <c r="C229" s="34"/>
      <c r="D229" s="86" t="e">
        <f t="shared" si="12"/>
        <v>#N/A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0"/>
    </row>
    <row r="230" spans="1:20">
      <c r="A230" s="49" t="str">
        <f t="shared" si="13"/>
        <v>05069450</v>
      </c>
      <c r="B230" s="50">
        <f t="shared" si="13"/>
        <v>44439</v>
      </c>
      <c r="C230" s="34"/>
      <c r="D230" s="86" t="e">
        <f t="shared" si="12"/>
        <v>#N/A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0"/>
    </row>
    <row r="231" spans="1:20">
      <c r="A231" s="49" t="str">
        <f t="shared" si="13"/>
        <v>05069450</v>
      </c>
      <c r="B231" s="50">
        <f t="shared" si="13"/>
        <v>44439</v>
      </c>
      <c r="C231" s="34"/>
      <c r="D231" s="86" t="e">
        <f t="shared" si="12"/>
        <v>#N/A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0"/>
    </row>
    <row r="232" spans="1:20">
      <c r="A232" s="49" t="str">
        <f t="shared" si="13"/>
        <v>05069450</v>
      </c>
      <c r="B232" s="50">
        <f t="shared" si="13"/>
        <v>44439</v>
      </c>
      <c r="C232" s="34"/>
      <c r="D232" s="86" t="e">
        <f t="shared" si="12"/>
        <v>#N/A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0"/>
    </row>
    <row r="233" spans="1:20">
      <c r="A233" s="49" t="str">
        <f t="shared" si="13"/>
        <v>05069450</v>
      </c>
      <c r="B233" s="50">
        <f t="shared" si="13"/>
        <v>44439</v>
      </c>
      <c r="C233" s="34"/>
      <c r="D233" s="86" t="e">
        <f t="shared" si="12"/>
        <v>#N/A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0"/>
    </row>
    <row r="234" spans="1:20">
      <c r="A234" s="49" t="str">
        <f t="shared" si="13"/>
        <v>05069450</v>
      </c>
      <c r="B234" s="50">
        <f t="shared" si="13"/>
        <v>44439</v>
      </c>
      <c r="C234" s="34"/>
      <c r="D234" s="86" t="e">
        <f t="shared" si="12"/>
        <v>#N/A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0"/>
    </row>
    <row r="235" spans="1:20">
      <c r="A235" s="49" t="str">
        <f t="shared" si="13"/>
        <v>05069450</v>
      </c>
      <c r="B235" s="50">
        <f t="shared" si="13"/>
        <v>44439</v>
      </c>
      <c r="C235" s="34"/>
      <c r="D235" s="86" t="e">
        <f t="shared" si="12"/>
        <v>#N/A</v>
      </c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0"/>
    </row>
    <row r="236" spans="1:20">
      <c r="A236" s="49" t="str">
        <f t="shared" si="13"/>
        <v>05069450</v>
      </c>
      <c r="B236" s="50">
        <f t="shared" si="13"/>
        <v>44439</v>
      </c>
      <c r="C236" s="34"/>
      <c r="D236" s="86" t="e">
        <f t="shared" si="12"/>
        <v>#N/A</v>
      </c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0"/>
    </row>
    <row r="237" spans="1:20">
      <c r="A237" s="49" t="str">
        <f t="shared" si="13"/>
        <v>05069450</v>
      </c>
      <c r="B237" s="50">
        <f t="shared" si="13"/>
        <v>44439</v>
      </c>
      <c r="C237" s="34"/>
      <c r="D237" s="86" t="e">
        <f t="shared" si="12"/>
        <v>#N/A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0"/>
    </row>
    <row r="238" spans="1:20">
      <c r="A238" s="49" t="str">
        <f t="shared" si="13"/>
        <v>05069450</v>
      </c>
      <c r="B238" s="50">
        <f t="shared" si="13"/>
        <v>44439</v>
      </c>
      <c r="C238" s="34"/>
      <c r="D238" s="86" t="e">
        <f t="shared" si="12"/>
        <v>#N/A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0"/>
    </row>
    <row r="239" spans="1:20">
      <c r="A239" s="49" t="str">
        <f t="shared" si="13"/>
        <v>05069450</v>
      </c>
      <c r="B239" s="50">
        <f t="shared" si="13"/>
        <v>44439</v>
      </c>
      <c r="C239" s="34"/>
      <c r="D239" s="86" t="e">
        <f t="shared" si="12"/>
        <v>#N/A</v>
      </c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0"/>
    </row>
    <row r="240" spans="1:20">
      <c r="A240" s="49" t="str">
        <f t="shared" si="13"/>
        <v>05069450</v>
      </c>
      <c r="B240" s="50">
        <f t="shared" si="13"/>
        <v>44439</v>
      </c>
      <c r="C240" s="34"/>
      <c r="D240" s="86" t="e">
        <f t="shared" si="12"/>
        <v>#N/A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0"/>
    </row>
    <row r="241" spans="1:20">
      <c r="A241" s="49" t="str">
        <f t="shared" si="13"/>
        <v>05069450</v>
      </c>
      <c r="B241" s="50">
        <f t="shared" si="13"/>
        <v>44439</v>
      </c>
      <c r="C241" s="34"/>
      <c r="D241" s="86" t="e">
        <f t="shared" si="12"/>
        <v>#N/A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0"/>
    </row>
    <row r="242" spans="1:20">
      <c r="A242" s="49" t="str">
        <f t="shared" si="13"/>
        <v>05069450</v>
      </c>
      <c r="B242" s="50">
        <f t="shared" si="13"/>
        <v>44439</v>
      </c>
      <c r="C242" s="34"/>
      <c r="D242" s="86" t="e">
        <f t="shared" si="12"/>
        <v>#N/A</v>
      </c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0"/>
    </row>
    <row r="243" spans="1:20" ht="14.25" customHeight="1">
      <c r="A243" s="49" t="str">
        <f t="shared" si="13"/>
        <v>05069450</v>
      </c>
      <c r="B243" s="50">
        <f t="shared" si="13"/>
        <v>44439</v>
      </c>
      <c r="C243" s="34"/>
      <c r="D243" s="86" t="e">
        <f t="shared" si="12"/>
        <v>#N/A</v>
      </c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0"/>
    </row>
    <row r="244" spans="1:20" hidden="1"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30"/>
    </row>
    <row r="245" spans="1:20">
      <c r="T245" s="30"/>
    </row>
    <row r="246" spans="1:20">
      <c r="T246" s="30"/>
    </row>
    <row r="247" spans="1:20">
      <c r="T247" s="30"/>
    </row>
    <row r="248" spans="1:20">
      <c r="T248" s="30"/>
    </row>
    <row r="249" spans="1:20">
      <c r="T249" s="30"/>
    </row>
    <row r="250" spans="1:20">
      <c r="T250" s="30"/>
    </row>
    <row r="251" spans="1:20">
      <c r="T251" s="30"/>
    </row>
    <row r="252" spans="1:20">
      <c r="T252" s="30"/>
    </row>
    <row r="253" spans="1:20">
      <c r="T253" s="30"/>
    </row>
    <row r="254" spans="1:20">
      <c r="T254" s="30"/>
    </row>
    <row r="255" spans="1:20">
      <c r="T255" s="30"/>
    </row>
    <row r="256" spans="1:20">
      <c r="T256" s="30"/>
    </row>
    <row r="257" spans="3:20">
      <c r="C257" s="55"/>
      <c r="D257" s="55"/>
      <c r="E257" s="55"/>
      <c r="F257" s="56"/>
      <c r="G257" s="56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30"/>
    </row>
    <row r="258" spans="3:20">
      <c r="C258" s="55"/>
      <c r="D258" s="55"/>
      <c r="E258" s="55"/>
      <c r="F258" s="56"/>
      <c r="G258" s="56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30"/>
    </row>
    <row r="259" spans="3:20">
      <c r="C259" s="55"/>
      <c r="D259" s="55"/>
      <c r="E259" s="55"/>
      <c r="F259" s="56"/>
      <c r="G259" s="56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30"/>
    </row>
    <row r="260" spans="3:20">
      <c r="C260" s="55"/>
      <c r="D260" s="55"/>
      <c r="E260" s="55"/>
      <c r="F260" s="56"/>
      <c r="G260" s="56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30"/>
    </row>
    <row r="261" spans="3:20">
      <c r="C261" s="55"/>
      <c r="D261" s="55"/>
      <c r="E261" s="55"/>
      <c r="F261" s="56"/>
      <c r="G261" s="56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30"/>
    </row>
    <row r="262" spans="3:20">
      <c r="C262" s="55"/>
      <c r="D262" s="55"/>
      <c r="E262" s="55"/>
      <c r="F262" s="56"/>
      <c r="G262" s="56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30"/>
    </row>
    <row r="263" spans="3:20">
      <c r="C263" s="55"/>
      <c r="D263" s="55"/>
      <c r="E263" s="55"/>
      <c r="F263" s="56"/>
      <c r="G263" s="56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30"/>
    </row>
    <row r="264" spans="3:20">
      <c r="C264" s="55"/>
      <c r="D264" s="55"/>
      <c r="E264" s="55"/>
      <c r="F264" s="56"/>
      <c r="G264" s="56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30"/>
    </row>
    <row r="265" spans="3:20">
      <c r="C265" s="55"/>
      <c r="D265" s="55"/>
      <c r="E265" s="55"/>
      <c r="F265" s="56"/>
      <c r="G265" s="56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30"/>
    </row>
    <row r="266" spans="3:20">
      <c r="C266" s="55"/>
      <c r="D266" s="55"/>
      <c r="E266" s="55"/>
      <c r="F266" s="56"/>
      <c r="G266" s="56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30"/>
    </row>
    <row r="267" spans="3:20">
      <c r="C267" s="55"/>
      <c r="D267" s="55"/>
      <c r="E267" s="55"/>
      <c r="F267" s="56"/>
      <c r="G267" s="56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30"/>
    </row>
    <row r="268" spans="3:20">
      <c r="C268" s="55"/>
      <c r="D268" s="55"/>
      <c r="E268" s="55"/>
      <c r="F268" s="56"/>
      <c r="G268" s="56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30"/>
    </row>
    <row r="269" spans="3:20">
      <c r="C269" s="55"/>
      <c r="D269" s="55"/>
      <c r="E269" s="55"/>
      <c r="F269" s="56"/>
      <c r="G269" s="56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30"/>
    </row>
    <row r="270" spans="3:20">
      <c r="C270" s="55"/>
      <c r="D270" s="55"/>
      <c r="E270" s="55"/>
      <c r="F270" s="56"/>
      <c r="G270" s="56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30"/>
    </row>
    <row r="271" spans="3:20">
      <c r="C271" s="55"/>
      <c r="D271" s="55"/>
      <c r="E271" s="55"/>
      <c r="F271" s="56"/>
      <c r="G271" s="56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30"/>
    </row>
    <row r="272" spans="3:20">
      <c r="C272" s="55"/>
      <c r="D272" s="55"/>
      <c r="E272" s="55"/>
      <c r="F272" s="56"/>
      <c r="G272" s="56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30"/>
    </row>
    <row r="273" spans="3:20">
      <c r="C273" s="55"/>
      <c r="D273" s="55"/>
      <c r="E273" s="55"/>
      <c r="F273" s="56"/>
      <c r="G273" s="56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30"/>
    </row>
    <row r="274" spans="3:20">
      <c r="C274" s="55"/>
      <c r="D274" s="55"/>
      <c r="E274" s="55"/>
      <c r="F274" s="56"/>
      <c r="G274" s="56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30"/>
    </row>
    <row r="275" spans="3:20">
      <c r="C275" s="55"/>
      <c r="D275" s="55"/>
      <c r="E275" s="55"/>
      <c r="F275" s="56"/>
      <c r="G275" s="56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30"/>
    </row>
    <row r="276" spans="3:20">
      <c r="C276" s="55"/>
      <c r="D276" s="55"/>
      <c r="E276" s="55"/>
      <c r="F276" s="56"/>
      <c r="G276" s="56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30"/>
    </row>
    <row r="277" spans="3:20">
      <c r="C277" s="55"/>
      <c r="D277" s="55"/>
      <c r="E277" s="55"/>
      <c r="F277" s="56"/>
      <c r="G277" s="56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30"/>
    </row>
    <row r="278" spans="3:20">
      <c r="C278" s="55"/>
      <c r="D278" s="55"/>
      <c r="E278" s="55"/>
      <c r="F278" s="56"/>
      <c r="G278" s="56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30"/>
    </row>
    <row r="279" spans="3:20">
      <c r="C279" s="55"/>
      <c r="D279" s="55"/>
      <c r="E279" s="55"/>
      <c r="F279" s="56"/>
      <c r="G279" s="56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30"/>
    </row>
    <row r="280" spans="3:20">
      <c r="C280" s="55"/>
      <c r="D280" s="55"/>
      <c r="E280" s="55"/>
      <c r="F280" s="56"/>
      <c r="G280" s="56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30"/>
    </row>
    <row r="281" spans="3:20">
      <c r="C281" s="55"/>
      <c r="D281" s="55"/>
      <c r="E281" s="55"/>
      <c r="F281" s="56"/>
      <c r="G281" s="56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30"/>
    </row>
    <row r="282" spans="3:20">
      <c r="C282" s="55"/>
      <c r="D282" s="55"/>
      <c r="E282" s="55"/>
      <c r="F282" s="56"/>
      <c r="G282" s="56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30"/>
    </row>
    <row r="283" spans="3:20">
      <c r="C283" s="55"/>
      <c r="D283" s="55"/>
      <c r="E283" s="55"/>
      <c r="F283" s="56"/>
      <c r="G283" s="56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30"/>
    </row>
    <row r="284" spans="3:20">
      <c r="C284" s="55"/>
      <c r="D284" s="55"/>
      <c r="E284" s="55"/>
      <c r="F284" s="56"/>
      <c r="G284" s="56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30"/>
    </row>
    <row r="285" spans="3:20">
      <c r="C285" s="55"/>
      <c r="D285" s="55"/>
      <c r="E285" s="55"/>
      <c r="F285" s="56"/>
      <c r="G285" s="56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30"/>
    </row>
    <row r="286" spans="3:20">
      <c r="C286" s="55"/>
      <c r="D286" s="55"/>
      <c r="E286" s="55"/>
      <c r="F286" s="56"/>
      <c r="G286" s="56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30"/>
    </row>
    <row r="287" spans="3:20">
      <c r="C287" s="55"/>
      <c r="D287" s="55"/>
      <c r="E287" s="55"/>
      <c r="F287" s="56"/>
      <c r="G287" s="56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30"/>
    </row>
    <row r="288" spans="3:20">
      <c r="C288" s="55"/>
      <c r="D288" s="55"/>
      <c r="E288" s="55"/>
      <c r="F288" s="56"/>
      <c r="G288" s="56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30"/>
    </row>
    <row r="289" spans="3:20">
      <c r="C289" s="55"/>
      <c r="D289" s="55"/>
      <c r="E289" s="55"/>
      <c r="F289" s="56"/>
      <c r="G289" s="56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30"/>
    </row>
    <row r="290" spans="3:20">
      <c r="C290" s="55"/>
      <c r="D290" s="55"/>
      <c r="E290" s="55"/>
      <c r="F290" s="56"/>
      <c r="G290" s="56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30"/>
    </row>
    <row r="291" spans="3:20">
      <c r="C291" s="55"/>
      <c r="D291" s="55"/>
      <c r="E291" s="55"/>
      <c r="F291" s="56"/>
      <c r="G291" s="56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30"/>
    </row>
    <row r="292" spans="3:20">
      <c r="C292" s="55"/>
      <c r="D292" s="55"/>
      <c r="E292" s="55"/>
      <c r="F292" s="56"/>
      <c r="G292" s="56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30"/>
    </row>
    <row r="293" spans="3:20">
      <c r="C293" s="55"/>
      <c r="D293" s="55"/>
      <c r="E293" s="55"/>
      <c r="F293" s="56"/>
      <c r="G293" s="56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30"/>
    </row>
    <row r="294" spans="3:20">
      <c r="C294" s="55"/>
      <c r="D294" s="55"/>
      <c r="E294" s="55"/>
      <c r="F294" s="56"/>
      <c r="G294" s="56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30"/>
    </row>
    <row r="295" spans="3:20">
      <c r="C295" s="55"/>
      <c r="D295" s="55"/>
      <c r="E295" s="55"/>
      <c r="F295" s="56"/>
      <c r="G295" s="56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30"/>
    </row>
    <row r="296" spans="3:20">
      <c r="C296" s="55"/>
      <c r="D296" s="55"/>
      <c r="E296" s="55"/>
      <c r="F296" s="56"/>
      <c r="G296" s="56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30"/>
    </row>
    <row r="297" spans="3:20">
      <c r="C297" s="55"/>
      <c r="D297" s="55"/>
      <c r="E297" s="55"/>
      <c r="F297" s="56"/>
      <c r="G297" s="56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30"/>
    </row>
    <row r="298" spans="3:20">
      <c r="C298" s="55"/>
      <c r="D298" s="55"/>
      <c r="E298" s="55"/>
      <c r="F298" s="56"/>
      <c r="G298" s="56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30"/>
    </row>
    <row r="299" spans="3:20">
      <c r="C299" s="55"/>
      <c r="D299" s="55"/>
      <c r="E299" s="55"/>
      <c r="F299" s="56"/>
      <c r="G299" s="56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30"/>
    </row>
    <row r="300" spans="3:20">
      <c r="C300" s="55"/>
      <c r="D300" s="55"/>
      <c r="E300" s="55"/>
      <c r="F300" s="56"/>
      <c r="G300" s="56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30"/>
    </row>
    <row r="301" spans="3:20">
      <c r="C301" s="55"/>
      <c r="D301" s="55"/>
      <c r="E301" s="55"/>
      <c r="F301" s="56"/>
      <c r="G301" s="56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30"/>
    </row>
    <row r="302" spans="3:20">
      <c r="C302" s="55"/>
      <c r="D302" s="55"/>
      <c r="E302" s="55"/>
      <c r="F302" s="56"/>
      <c r="G302" s="56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30"/>
    </row>
    <row r="303" spans="3:20">
      <c r="C303" s="55"/>
      <c r="D303" s="55"/>
      <c r="E303" s="55"/>
      <c r="F303" s="56"/>
      <c r="G303" s="56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30"/>
    </row>
    <row r="304" spans="3:20">
      <c r="C304" s="55"/>
      <c r="D304" s="55"/>
      <c r="E304" s="55"/>
      <c r="F304" s="56"/>
      <c r="G304" s="56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30"/>
    </row>
    <row r="305" spans="3:20">
      <c r="C305" s="55"/>
      <c r="D305" s="55"/>
      <c r="E305" s="55"/>
      <c r="F305" s="56"/>
      <c r="G305" s="56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30"/>
    </row>
    <row r="306" spans="3:20">
      <c r="C306" s="55"/>
      <c r="D306" s="55"/>
      <c r="E306" s="55"/>
      <c r="F306" s="56"/>
      <c r="G306" s="56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30"/>
    </row>
    <row r="307" spans="3:20">
      <c r="C307" s="55"/>
      <c r="D307" s="55"/>
      <c r="E307" s="55"/>
      <c r="F307" s="56"/>
      <c r="G307" s="56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30"/>
    </row>
    <row r="308" spans="3:20">
      <c r="C308" s="55"/>
      <c r="D308" s="55"/>
      <c r="E308" s="55"/>
      <c r="F308" s="56"/>
      <c r="G308" s="56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30"/>
    </row>
    <row r="309" spans="3:20">
      <c r="C309" s="55"/>
      <c r="D309" s="55"/>
      <c r="E309" s="55"/>
      <c r="F309" s="56"/>
      <c r="G309" s="56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30"/>
    </row>
    <row r="310" spans="3:20">
      <c r="C310" s="55"/>
      <c r="D310" s="55"/>
      <c r="E310" s="55"/>
      <c r="F310" s="56"/>
      <c r="G310" s="56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30"/>
    </row>
    <row r="311" spans="3:20">
      <c r="C311" s="55"/>
      <c r="D311" s="55"/>
      <c r="E311" s="55"/>
      <c r="F311" s="56"/>
      <c r="G311" s="56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30"/>
    </row>
    <row r="312" spans="3:20">
      <c r="C312" s="55"/>
      <c r="D312" s="55"/>
      <c r="E312" s="55"/>
      <c r="F312" s="56"/>
      <c r="G312" s="56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30"/>
    </row>
    <row r="313" spans="3:20">
      <c r="C313" s="55"/>
      <c r="D313" s="55"/>
      <c r="E313" s="55"/>
      <c r="F313" s="56"/>
      <c r="G313" s="56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30"/>
    </row>
    <row r="314" spans="3:20">
      <c r="C314" s="55"/>
      <c r="D314" s="55"/>
      <c r="E314" s="55"/>
      <c r="F314" s="56"/>
      <c r="G314" s="56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30"/>
    </row>
    <row r="315" spans="3:20">
      <c r="C315" s="55"/>
      <c r="D315" s="55"/>
      <c r="E315" s="55"/>
      <c r="F315" s="56"/>
      <c r="G315" s="56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30"/>
    </row>
    <row r="316" spans="3:20">
      <c r="C316" s="55"/>
      <c r="D316" s="55"/>
      <c r="E316" s="55"/>
      <c r="F316" s="56"/>
      <c r="G316" s="56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30"/>
    </row>
    <row r="317" spans="3:20">
      <c r="C317" s="55"/>
      <c r="D317" s="55"/>
      <c r="E317" s="55"/>
      <c r="F317" s="56"/>
      <c r="G317" s="56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30"/>
    </row>
    <row r="318" spans="3:20">
      <c r="C318" s="55"/>
      <c r="D318" s="55"/>
      <c r="E318" s="55"/>
      <c r="F318" s="56"/>
      <c r="G318" s="56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30"/>
    </row>
    <row r="319" spans="3:20">
      <c r="C319" s="55"/>
      <c r="D319" s="55"/>
      <c r="E319" s="55"/>
      <c r="F319" s="56"/>
      <c r="G319" s="56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30"/>
    </row>
    <row r="320" spans="3:20">
      <c r="C320" s="55"/>
      <c r="D320" s="55"/>
      <c r="E320" s="55"/>
      <c r="F320" s="56"/>
      <c r="G320" s="56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30"/>
    </row>
    <row r="321" spans="3:20">
      <c r="C321" s="55"/>
      <c r="D321" s="55"/>
      <c r="E321" s="55"/>
      <c r="F321" s="56"/>
      <c r="G321" s="56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30"/>
    </row>
    <row r="322" spans="3:20">
      <c r="C322" s="55"/>
      <c r="D322" s="55"/>
      <c r="E322" s="55"/>
      <c r="F322" s="56"/>
      <c r="G322" s="56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30"/>
    </row>
    <row r="323" spans="3:20">
      <c r="C323" s="55"/>
      <c r="D323" s="55"/>
      <c r="E323" s="55"/>
      <c r="F323" s="56"/>
      <c r="G323" s="56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30"/>
    </row>
    <row r="324" spans="3:20">
      <c r="C324" s="55"/>
      <c r="D324" s="55"/>
      <c r="E324" s="55"/>
      <c r="F324" s="56"/>
      <c r="G324" s="56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30"/>
    </row>
    <row r="325" spans="3:20">
      <c r="C325" s="55"/>
      <c r="D325" s="55"/>
      <c r="E325" s="55"/>
      <c r="F325" s="56"/>
      <c r="G325" s="56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30"/>
    </row>
    <row r="326" spans="3:20">
      <c r="C326" s="55"/>
      <c r="D326" s="55"/>
      <c r="E326" s="55"/>
      <c r="F326" s="56"/>
      <c r="G326" s="56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30"/>
    </row>
    <row r="327" spans="3:20">
      <c r="C327" s="55"/>
      <c r="D327" s="55"/>
      <c r="E327" s="55"/>
      <c r="F327" s="56"/>
      <c r="G327" s="56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30"/>
    </row>
    <row r="328" spans="3:20">
      <c r="C328" s="55"/>
      <c r="D328" s="55"/>
      <c r="E328" s="55"/>
      <c r="F328" s="56"/>
      <c r="G328" s="56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30"/>
    </row>
    <row r="329" spans="3:20">
      <c r="C329" s="55"/>
      <c r="D329" s="55"/>
      <c r="E329" s="55"/>
      <c r="F329" s="56"/>
      <c r="G329" s="56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30"/>
    </row>
    <row r="330" spans="3:20">
      <c r="C330" s="55"/>
      <c r="D330" s="55"/>
      <c r="E330" s="55"/>
      <c r="F330" s="56"/>
      <c r="G330" s="56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30"/>
    </row>
    <row r="331" spans="3:20">
      <c r="C331" s="55"/>
      <c r="D331" s="55"/>
      <c r="E331" s="55"/>
      <c r="F331" s="56"/>
      <c r="G331" s="56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30"/>
    </row>
    <row r="332" spans="3:20">
      <c r="C332" s="55"/>
      <c r="D332" s="55"/>
      <c r="E332" s="55"/>
      <c r="F332" s="56"/>
      <c r="G332" s="56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30"/>
    </row>
    <row r="333" spans="3:20">
      <c r="C333" s="55"/>
      <c r="D333" s="55"/>
      <c r="E333" s="55"/>
      <c r="F333" s="56"/>
      <c r="G333" s="56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30"/>
    </row>
    <row r="334" spans="3:20">
      <c r="C334" s="55"/>
      <c r="D334" s="55"/>
      <c r="E334" s="55"/>
      <c r="F334" s="56"/>
      <c r="G334" s="56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30"/>
    </row>
    <row r="335" spans="3:20">
      <c r="C335" s="55"/>
      <c r="D335" s="55"/>
      <c r="E335" s="55"/>
      <c r="F335" s="56"/>
      <c r="G335" s="56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30"/>
    </row>
    <row r="336" spans="3:20">
      <c r="C336" s="55"/>
      <c r="D336" s="55"/>
      <c r="E336" s="55"/>
      <c r="F336" s="56"/>
      <c r="G336" s="56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30"/>
    </row>
    <row r="337" spans="3:20">
      <c r="C337" s="55"/>
      <c r="D337" s="55"/>
      <c r="E337" s="55"/>
      <c r="F337" s="56"/>
      <c r="G337" s="56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30"/>
    </row>
    <row r="338" spans="3:20">
      <c r="C338" s="55"/>
      <c r="D338" s="55"/>
      <c r="E338" s="55"/>
      <c r="F338" s="56"/>
      <c r="G338" s="56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30"/>
    </row>
    <row r="339" spans="3:20">
      <c r="C339" s="55"/>
      <c r="D339" s="55"/>
      <c r="E339" s="55"/>
      <c r="F339" s="56"/>
      <c r="G339" s="56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</row>
    <row r="340" spans="3:20">
      <c r="C340" s="55"/>
      <c r="D340" s="55"/>
      <c r="E340" s="55"/>
      <c r="F340" s="56"/>
      <c r="G340" s="56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</row>
    <row r="341" spans="3:20">
      <c r="C341" s="55"/>
      <c r="D341" s="55"/>
      <c r="E341" s="55"/>
      <c r="F341" s="56"/>
      <c r="G341" s="56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</row>
    <row r="342" spans="3:20">
      <c r="C342" s="55"/>
      <c r="D342" s="55"/>
      <c r="E342" s="55"/>
      <c r="F342" s="56"/>
      <c r="G342" s="56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</row>
    <row r="343" spans="3:20">
      <c r="C343" s="55"/>
      <c r="D343" s="55"/>
      <c r="E343" s="55"/>
      <c r="F343" s="56"/>
      <c r="G343" s="56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</row>
    <row r="344" spans="3:20">
      <c r="C344" s="55"/>
      <c r="D344" s="55"/>
      <c r="E344" s="55"/>
      <c r="F344" s="56"/>
      <c r="G344" s="56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</row>
    <row r="345" spans="3:20">
      <c r="C345" s="55"/>
      <c r="D345" s="55"/>
      <c r="E345" s="55"/>
      <c r="F345" s="56"/>
      <c r="G345" s="56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</row>
    <row r="346" spans="3:20">
      <c r="C346" s="55"/>
      <c r="D346" s="55"/>
      <c r="E346" s="55"/>
      <c r="F346" s="56"/>
      <c r="G346" s="56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</row>
    <row r="347" spans="3:20">
      <c r="C347" s="55"/>
      <c r="D347" s="55"/>
      <c r="E347" s="55"/>
      <c r="F347" s="56"/>
      <c r="G347" s="56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</row>
    <row r="348" spans="3:20">
      <c r="C348" s="55"/>
      <c r="D348" s="55"/>
      <c r="E348" s="55"/>
      <c r="F348" s="56"/>
      <c r="G348" s="56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</row>
    <row r="349" spans="3:20">
      <c r="C349" s="55"/>
      <c r="D349" s="55"/>
      <c r="E349" s="55"/>
      <c r="F349" s="56"/>
      <c r="G349" s="56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</row>
    <row r="350" spans="3:20">
      <c r="C350" s="55"/>
      <c r="D350" s="55"/>
      <c r="E350" s="55"/>
      <c r="F350" s="56"/>
      <c r="G350" s="56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</row>
    <row r="351" spans="3:20">
      <c r="C351" s="55"/>
      <c r="D351" s="55"/>
      <c r="E351" s="55"/>
      <c r="F351" s="56"/>
      <c r="G351" s="56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</row>
    <row r="352" spans="3:20">
      <c r="C352" s="55"/>
      <c r="D352" s="55"/>
      <c r="E352" s="55"/>
      <c r="F352" s="56"/>
      <c r="G352" s="56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</row>
    <row r="353" spans="3:19">
      <c r="C353" s="55"/>
      <c r="D353" s="55"/>
      <c r="E353" s="55"/>
      <c r="F353" s="56"/>
      <c r="G353" s="56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</row>
    <row r="354" spans="3:19">
      <c r="C354" s="55"/>
      <c r="D354" s="55"/>
      <c r="E354" s="55"/>
      <c r="F354" s="56"/>
      <c r="G354" s="56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</row>
    <row r="355" spans="3:19">
      <c r="C355" s="55"/>
      <c r="D355" s="55"/>
      <c r="E355" s="55"/>
      <c r="F355" s="56"/>
      <c r="G355" s="56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</row>
    <row r="356" spans="3:19">
      <c r="C356" s="55"/>
      <c r="D356" s="55"/>
      <c r="E356" s="55"/>
      <c r="F356" s="56"/>
      <c r="G356" s="56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</row>
    <row r="357" spans="3:19">
      <c r="C357" s="55"/>
      <c r="D357" s="55"/>
      <c r="E357" s="55"/>
      <c r="F357" s="56"/>
      <c r="G357" s="56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</row>
    <row r="358" spans="3:19">
      <c r="C358" s="55"/>
      <c r="D358" s="55"/>
      <c r="E358" s="55"/>
      <c r="F358" s="56"/>
      <c r="G358" s="56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</row>
    <row r="359" spans="3:19">
      <c r="C359" s="55"/>
      <c r="D359" s="55"/>
      <c r="E359" s="55"/>
      <c r="F359" s="56"/>
      <c r="G359" s="56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</row>
    <row r="360" spans="3:19">
      <c r="C360" s="55"/>
      <c r="D360" s="55"/>
      <c r="E360" s="55"/>
      <c r="F360" s="56"/>
      <c r="G360" s="56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</row>
    <row r="361" spans="3:19">
      <c r="C361" s="55"/>
      <c r="D361" s="55"/>
      <c r="E361" s="55"/>
      <c r="F361" s="56"/>
      <c r="G361" s="56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</row>
    <row r="362" spans="3:19">
      <c r="C362" s="55"/>
      <c r="D362" s="55"/>
      <c r="E362" s="55"/>
      <c r="F362" s="56"/>
      <c r="G362" s="56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</row>
    <row r="363" spans="3:19">
      <c r="C363" s="55"/>
      <c r="D363" s="55"/>
      <c r="E363" s="55"/>
      <c r="F363" s="56"/>
      <c r="G363" s="56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</row>
    <row r="364" spans="3:19">
      <c r="C364" s="55"/>
      <c r="D364" s="55"/>
      <c r="E364" s="55"/>
      <c r="F364" s="56"/>
      <c r="G364" s="56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</row>
    <row r="365" spans="3:19">
      <c r="C365" s="55"/>
      <c r="D365" s="55"/>
      <c r="E365" s="55"/>
      <c r="F365" s="56"/>
      <c r="G365" s="56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</row>
    <row r="366" spans="3:19">
      <c r="C366" s="55"/>
      <c r="D366" s="55"/>
      <c r="E366" s="55"/>
      <c r="F366" s="56"/>
      <c r="G366" s="56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</row>
    <row r="367" spans="3:19">
      <c r="C367" s="55"/>
      <c r="D367" s="55"/>
      <c r="E367" s="55"/>
      <c r="F367" s="56"/>
      <c r="G367" s="56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</row>
    <row r="368" spans="3:19">
      <c r="C368" s="55"/>
      <c r="D368" s="55"/>
      <c r="E368" s="55"/>
      <c r="F368" s="56"/>
      <c r="G368" s="56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</row>
    <row r="369" spans="3:19">
      <c r="C369" s="55"/>
      <c r="D369" s="55"/>
      <c r="E369" s="55"/>
      <c r="F369" s="56"/>
      <c r="G369" s="56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</row>
    <row r="370" spans="3:19">
      <c r="C370" s="55"/>
      <c r="D370" s="55"/>
      <c r="E370" s="55"/>
      <c r="F370" s="56"/>
      <c r="G370" s="56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</row>
    <row r="371" spans="3:19">
      <c r="C371" s="55"/>
      <c r="D371" s="55"/>
      <c r="E371" s="55"/>
      <c r="F371" s="56"/>
      <c r="G371" s="56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</row>
    <row r="372" spans="3:19">
      <c r="C372" s="55"/>
      <c r="D372" s="55"/>
      <c r="E372" s="55"/>
      <c r="F372" s="56"/>
      <c r="G372" s="56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</row>
    <row r="373" spans="3:19">
      <c r="C373" s="55"/>
      <c r="D373" s="55"/>
      <c r="E373" s="55"/>
      <c r="F373" s="56"/>
      <c r="G373" s="56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</row>
    <row r="374" spans="3:19">
      <c r="C374" s="55"/>
      <c r="D374" s="55"/>
      <c r="E374" s="55"/>
      <c r="F374" s="56"/>
      <c r="G374" s="56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</row>
    <row r="375" spans="3:19">
      <c r="C375" s="55"/>
      <c r="D375" s="55"/>
      <c r="E375" s="55"/>
      <c r="F375" s="56"/>
      <c r="G375" s="56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</row>
    <row r="376" spans="3:19">
      <c r="C376" s="55"/>
      <c r="D376" s="55"/>
      <c r="E376" s="55"/>
      <c r="F376" s="56"/>
      <c r="G376" s="56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</row>
    <row r="377" spans="3:19">
      <c r="C377" s="55"/>
      <c r="D377" s="55"/>
      <c r="E377" s="55"/>
      <c r="F377" s="56"/>
      <c r="G377" s="56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</row>
    <row r="378" spans="3:19">
      <c r="C378" s="55"/>
      <c r="D378" s="55"/>
      <c r="E378" s="55"/>
      <c r="F378" s="56"/>
      <c r="G378" s="56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</row>
    <row r="379" spans="3:19">
      <c r="C379" s="55"/>
      <c r="D379" s="55"/>
      <c r="E379" s="55"/>
      <c r="F379" s="56"/>
      <c r="G379" s="56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</row>
    <row r="380" spans="3:19">
      <c r="C380" s="55"/>
      <c r="D380" s="55"/>
      <c r="E380" s="55"/>
      <c r="F380" s="56"/>
      <c r="G380" s="56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</row>
    <row r="381" spans="3:19">
      <c r="C381" s="55"/>
      <c r="D381" s="55"/>
      <c r="E381" s="55"/>
      <c r="F381" s="56"/>
      <c r="G381" s="56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</row>
    <row r="382" spans="3:19">
      <c r="C382" s="55"/>
      <c r="D382" s="55"/>
      <c r="E382" s="55"/>
      <c r="F382" s="56"/>
      <c r="G382" s="56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</row>
    <row r="383" spans="3:19">
      <c r="C383" s="55"/>
      <c r="D383" s="55"/>
      <c r="E383" s="55"/>
      <c r="F383" s="56"/>
      <c r="G383" s="56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</row>
    <row r="384" spans="3:19">
      <c r="C384" s="55"/>
      <c r="D384" s="55"/>
      <c r="E384" s="55"/>
      <c r="F384" s="56"/>
      <c r="G384" s="56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</row>
    <row r="385" spans="3:19">
      <c r="C385" s="55"/>
      <c r="D385" s="55"/>
      <c r="E385" s="55"/>
      <c r="F385" s="56"/>
      <c r="G385" s="56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</row>
    <row r="386" spans="3:19">
      <c r="C386" s="55"/>
      <c r="D386" s="55"/>
      <c r="E386" s="55"/>
      <c r="F386" s="56"/>
      <c r="G386" s="56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</row>
    <row r="387" spans="3:19">
      <c r="C387" s="55"/>
      <c r="D387" s="55"/>
      <c r="E387" s="55"/>
      <c r="F387" s="56"/>
      <c r="G387" s="56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</row>
    <row r="388" spans="3:19">
      <c r="C388" s="55"/>
      <c r="D388" s="55"/>
      <c r="E388" s="55"/>
      <c r="F388" s="56"/>
      <c r="G388" s="56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</row>
    <row r="389" spans="3:19">
      <c r="C389" s="55"/>
      <c r="D389" s="55"/>
      <c r="E389" s="55"/>
      <c r="F389" s="56"/>
      <c r="G389" s="56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</row>
    <row r="390" spans="3:19">
      <c r="C390" s="55"/>
      <c r="D390" s="55"/>
      <c r="E390" s="55"/>
      <c r="F390" s="56"/>
      <c r="G390" s="56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</row>
    <row r="391" spans="3:19">
      <c r="C391" s="55"/>
      <c r="D391" s="55"/>
      <c r="E391" s="55"/>
      <c r="F391" s="56"/>
      <c r="G391" s="56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</row>
    <row r="392" spans="3:19">
      <c r="C392" s="55"/>
      <c r="D392" s="55"/>
      <c r="E392" s="55"/>
      <c r="F392" s="56"/>
      <c r="G392" s="56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</row>
    <row r="393" spans="3:19">
      <c r="C393" s="55"/>
      <c r="D393" s="55"/>
      <c r="E393" s="55"/>
      <c r="F393" s="56"/>
      <c r="G393" s="56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</row>
    <row r="394" spans="3:19">
      <c r="C394" s="55"/>
      <c r="D394" s="55"/>
      <c r="E394" s="55"/>
      <c r="F394" s="56"/>
      <c r="G394" s="56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</row>
    <row r="395" spans="3:19">
      <c r="C395" s="55"/>
      <c r="D395" s="55"/>
      <c r="E395" s="55"/>
      <c r="F395" s="56"/>
      <c r="G395" s="56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</row>
    <row r="396" spans="3:19">
      <c r="C396" s="55"/>
      <c r="D396" s="55"/>
      <c r="E396" s="55"/>
      <c r="F396" s="56"/>
      <c r="G396" s="56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</row>
    <row r="397" spans="3:19">
      <c r="C397" s="55"/>
      <c r="D397" s="55"/>
      <c r="E397" s="55"/>
      <c r="F397" s="56"/>
      <c r="G397" s="56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</row>
    <row r="398" spans="3:19">
      <c r="C398" s="55"/>
      <c r="D398" s="55"/>
      <c r="E398" s="55"/>
      <c r="F398" s="56"/>
      <c r="G398" s="56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</row>
    <row r="399" spans="3:19">
      <c r="C399" s="55"/>
      <c r="D399" s="55"/>
      <c r="E399" s="55"/>
      <c r="F399" s="56"/>
      <c r="G399" s="56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</row>
    <row r="400" spans="3:19">
      <c r="C400" s="55"/>
      <c r="D400" s="55"/>
      <c r="E400" s="55"/>
      <c r="F400" s="56"/>
      <c r="G400" s="56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</row>
    <row r="401" spans="3:19">
      <c r="C401" s="55"/>
      <c r="D401" s="55"/>
      <c r="E401" s="55"/>
      <c r="F401" s="56"/>
      <c r="G401" s="56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</row>
    <row r="402" spans="3:19">
      <c r="C402" s="55"/>
      <c r="D402" s="55"/>
      <c r="E402" s="55"/>
      <c r="F402" s="56"/>
      <c r="G402" s="56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</row>
    <row r="403" spans="3:19">
      <c r="C403" s="55"/>
      <c r="D403" s="55"/>
      <c r="E403" s="55"/>
      <c r="F403" s="56"/>
      <c r="G403" s="56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</row>
    <row r="404" spans="3:19">
      <c r="C404" s="55"/>
      <c r="D404" s="55"/>
      <c r="E404" s="55"/>
      <c r="F404" s="56"/>
      <c r="G404" s="56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</row>
    <row r="405" spans="3:19">
      <c r="C405" s="55"/>
      <c r="D405" s="55"/>
      <c r="E405" s="55"/>
      <c r="F405" s="56"/>
      <c r="G405" s="56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</row>
    <row r="406" spans="3:19">
      <c r="C406" s="55"/>
      <c r="D406" s="55"/>
      <c r="E406" s="55"/>
      <c r="F406" s="56"/>
      <c r="G406" s="56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</row>
    <row r="407" spans="3:19">
      <c r="C407" s="55"/>
      <c r="D407" s="55"/>
      <c r="E407" s="55"/>
      <c r="F407" s="56"/>
      <c r="G407" s="56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</row>
    <row r="408" spans="3:19">
      <c r="C408" s="55"/>
      <c r="D408" s="55"/>
      <c r="E408" s="55"/>
      <c r="F408" s="56"/>
      <c r="G408" s="56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</row>
    <row r="409" spans="3:19">
      <c r="C409" s="55"/>
      <c r="D409" s="55"/>
      <c r="E409" s="55"/>
      <c r="F409" s="56"/>
      <c r="G409" s="56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</row>
    <row r="410" spans="3:19">
      <c r="C410" s="55"/>
      <c r="D410" s="55"/>
      <c r="E410" s="55"/>
      <c r="F410" s="56"/>
      <c r="G410" s="56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</row>
    <row r="411" spans="3:19">
      <c r="C411" s="55"/>
      <c r="D411" s="55"/>
      <c r="E411" s="55"/>
      <c r="F411" s="56"/>
      <c r="G411" s="56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</row>
    <row r="412" spans="3:19">
      <c r="C412" s="55"/>
      <c r="D412" s="55"/>
      <c r="E412" s="55"/>
      <c r="F412" s="56"/>
      <c r="G412" s="56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</row>
    <row r="413" spans="3:19">
      <c r="C413" s="55"/>
      <c r="D413" s="55"/>
      <c r="E413" s="55"/>
      <c r="F413" s="56"/>
      <c r="G413" s="56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</row>
    <row r="414" spans="3:19">
      <c r="C414" s="55"/>
      <c r="D414" s="55"/>
      <c r="E414" s="55"/>
      <c r="F414" s="56"/>
      <c r="G414" s="56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</row>
    <row r="415" spans="3:19">
      <c r="C415" s="55"/>
      <c r="D415" s="55"/>
      <c r="E415" s="55"/>
      <c r="F415" s="56"/>
      <c r="G415" s="56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</row>
    <row r="416" spans="3:19">
      <c r="C416" s="55"/>
      <c r="D416" s="55"/>
      <c r="E416" s="55"/>
      <c r="F416" s="56"/>
      <c r="G416" s="56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</row>
    <row r="417" spans="3:19">
      <c r="C417" s="55"/>
      <c r="D417" s="55"/>
      <c r="E417" s="55"/>
      <c r="F417" s="56"/>
      <c r="G417" s="56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</row>
    <row r="418" spans="3:19">
      <c r="C418" s="55"/>
      <c r="D418" s="55"/>
      <c r="E418" s="55"/>
      <c r="F418" s="56"/>
      <c r="G418" s="56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</row>
    <row r="419" spans="3:19">
      <c r="C419" s="55"/>
      <c r="D419" s="55"/>
      <c r="E419" s="55"/>
      <c r="F419" s="56"/>
      <c r="G419" s="56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</row>
    <row r="420" spans="3:19">
      <c r="C420" s="55"/>
      <c r="D420" s="55"/>
      <c r="E420" s="55"/>
      <c r="F420" s="56"/>
      <c r="G420" s="56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</row>
    <row r="421" spans="3:19">
      <c r="C421" s="55"/>
      <c r="D421" s="55"/>
      <c r="E421" s="55"/>
      <c r="F421" s="56"/>
      <c r="G421" s="56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</row>
    <row r="422" spans="3:19">
      <c r="C422" s="55"/>
      <c r="D422" s="55"/>
      <c r="E422" s="55"/>
      <c r="F422" s="56"/>
      <c r="G422" s="56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</row>
    <row r="423" spans="3:19">
      <c r="C423" s="55"/>
      <c r="D423" s="55"/>
      <c r="E423" s="55"/>
      <c r="F423" s="56"/>
      <c r="G423" s="56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</row>
    <row r="424" spans="3:19">
      <c r="C424" s="55"/>
      <c r="D424" s="55"/>
      <c r="E424" s="55"/>
      <c r="F424" s="56"/>
      <c r="G424" s="56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</row>
    <row r="425" spans="3:19">
      <c r="C425" s="55"/>
      <c r="D425" s="55"/>
      <c r="E425" s="55"/>
      <c r="F425" s="56"/>
      <c r="G425" s="56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</row>
    <row r="426" spans="3:19">
      <c r="C426" s="55"/>
      <c r="D426" s="55"/>
      <c r="E426" s="55"/>
      <c r="F426" s="56"/>
      <c r="G426" s="56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</row>
    <row r="427" spans="3:19">
      <c r="C427" s="55"/>
      <c r="D427" s="55"/>
      <c r="E427" s="55"/>
      <c r="F427" s="56"/>
      <c r="G427" s="56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</row>
    <row r="428" spans="3:19">
      <c r="C428" s="55"/>
      <c r="D428" s="55"/>
      <c r="E428" s="55"/>
      <c r="F428" s="56"/>
      <c r="G428" s="56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</row>
    <row r="429" spans="3:19">
      <c r="C429" s="55"/>
      <c r="D429" s="55"/>
      <c r="E429" s="55"/>
      <c r="F429" s="56"/>
      <c r="G429" s="56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</row>
    <row r="430" spans="3:19">
      <c r="C430" s="55"/>
      <c r="D430" s="55"/>
      <c r="E430" s="55"/>
      <c r="F430" s="56"/>
      <c r="G430" s="56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</row>
    <row r="431" spans="3:19">
      <c r="C431" s="55"/>
      <c r="D431" s="55"/>
      <c r="E431" s="55"/>
      <c r="F431" s="56"/>
      <c r="G431" s="56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</row>
    <row r="432" spans="3:19">
      <c r="C432" s="55"/>
      <c r="D432" s="55"/>
      <c r="E432" s="55"/>
      <c r="F432" s="56"/>
      <c r="G432" s="56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</row>
    <row r="433" spans="3:19">
      <c r="C433" s="55"/>
      <c r="D433" s="55"/>
      <c r="E433" s="55"/>
      <c r="F433" s="56"/>
      <c r="G433" s="56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</row>
    <row r="434" spans="3:19">
      <c r="C434" s="55"/>
      <c r="D434" s="55"/>
      <c r="E434" s="55"/>
      <c r="F434" s="56"/>
      <c r="G434" s="56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</row>
    <row r="435" spans="3:19">
      <c r="C435" s="55"/>
      <c r="D435" s="55"/>
      <c r="E435" s="55"/>
      <c r="F435" s="56"/>
      <c r="G435" s="56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</row>
    <row r="436" spans="3:19">
      <c r="C436" s="55"/>
      <c r="D436" s="55"/>
      <c r="E436" s="55"/>
      <c r="F436" s="56"/>
      <c r="G436" s="56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</row>
    <row r="437" spans="3:19">
      <c r="C437" s="55"/>
      <c r="D437" s="55"/>
      <c r="E437" s="55"/>
      <c r="F437" s="56"/>
      <c r="G437" s="56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</row>
    <row r="438" spans="3:19">
      <c r="C438" s="55"/>
      <c r="D438" s="55"/>
      <c r="E438" s="55"/>
      <c r="F438" s="56"/>
      <c r="G438" s="56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</row>
    <row r="439" spans="3:19">
      <c r="C439" s="55"/>
      <c r="D439" s="55"/>
      <c r="E439" s="55"/>
      <c r="F439" s="56"/>
      <c r="G439" s="56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</row>
    <row r="440" spans="3:19">
      <c r="C440" s="55"/>
      <c r="D440" s="55"/>
      <c r="E440" s="55"/>
      <c r="F440" s="56"/>
      <c r="G440" s="56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</row>
    <row r="441" spans="3:19">
      <c r="C441" s="55"/>
      <c r="D441" s="55"/>
      <c r="E441" s="55"/>
      <c r="F441" s="56"/>
      <c r="G441" s="56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</row>
    <row r="442" spans="3:19">
      <c r="C442" s="55"/>
      <c r="D442" s="55"/>
      <c r="E442" s="55"/>
      <c r="F442" s="56"/>
      <c r="G442" s="56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</row>
    <row r="443" spans="3:19">
      <c r="C443" s="55"/>
      <c r="D443" s="55"/>
      <c r="E443" s="55"/>
      <c r="F443" s="56"/>
      <c r="G443" s="56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</row>
    <row r="444" spans="3:19">
      <c r="C444" s="55"/>
      <c r="D444" s="55"/>
      <c r="E444" s="55"/>
      <c r="F444" s="56"/>
      <c r="G444" s="56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</row>
    <row r="445" spans="3:19">
      <c r="C445" s="55"/>
      <c r="D445" s="55"/>
      <c r="E445" s="55"/>
      <c r="F445" s="56"/>
      <c r="G445" s="56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</row>
    <row r="446" spans="3:19">
      <c r="C446" s="55"/>
      <c r="D446" s="55"/>
      <c r="E446" s="55"/>
      <c r="F446" s="56"/>
      <c r="G446" s="56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</row>
    <row r="447" spans="3:19">
      <c r="C447" s="55"/>
      <c r="D447" s="55"/>
      <c r="E447" s="55"/>
      <c r="F447" s="56"/>
      <c r="G447" s="56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</row>
    <row r="448" spans="3:19">
      <c r="C448" s="55"/>
      <c r="D448" s="55"/>
      <c r="E448" s="55"/>
      <c r="F448" s="56"/>
      <c r="G448" s="56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</row>
    <row r="449" spans="3:19">
      <c r="C449" s="55"/>
      <c r="D449" s="55"/>
      <c r="E449" s="55"/>
      <c r="F449" s="56"/>
      <c r="G449" s="56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</row>
    <row r="450" spans="3:19">
      <c r="C450" s="55"/>
      <c r="D450" s="55"/>
      <c r="E450" s="55"/>
      <c r="F450" s="56"/>
      <c r="G450" s="56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</row>
    <row r="451" spans="3:19">
      <c r="C451" s="55"/>
      <c r="D451" s="55"/>
      <c r="E451" s="55"/>
      <c r="F451" s="56"/>
      <c r="G451" s="56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</row>
    <row r="452" spans="3:19">
      <c r="C452" s="55"/>
      <c r="D452" s="55"/>
      <c r="E452" s="55"/>
      <c r="F452" s="56"/>
      <c r="G452" s="56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</row>
    <row r="453" spans="3:19">
      <c r="C453" s="55"/>
      <c r="D453" s="55"/>
      <c r="E453" s="55"/>
      <c r="F453" s="56"/>
      <c r="G453" s="56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</row>
    <row r="454" spans="3:19">
      <c r="C454" s="55"/>
      <c r="D454" s="55"/>
      <c r="E454" s="55"/>
      <c r="F454" s="56"/>
      <c r="G454" s="56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</row>
    <row r="455" spans="3:19">
      <c r="C455" s="55"/>
      <c r="D455" s="55"/>
      <c r="E455" s="55"/>
      <c r="F455" s="56"/>
      <c r="G455" s="56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</row>
    <row r="456" spans="3:19">
      <c r="C456" s="55"/>
      <c r="D456" s="55"/>
      <c r="E456" s="55"/>
      <c r="F456" s="56"/>
      <c r="G456" s="56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</row>
    <row r="457" spans="3:19">
      <c r="C457" s="55"/>
      <c r="D457" s="55"/>
      <c r="E457" s="55"/>
      <c r="F457" s="56"/>
      <c r="G457" s="56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</row>
    <row r="458" spans="3:19">
      <c r="C458" s="55"/>
      <c r="D458" s="55"/>
      <c r="E458" s="55"/>
      <c r="F458" s="56"/>
      <c r="G458" s="56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</row>
    <row r="459" spans="3:19">
      <c r="C459" s="55"/>
      <c r="D459" s="55"/>
      <c r="E459" s="55"/>
      <c r="F459" s="56"/>
      <c r="G459" s="56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</row>
    <row r="460" spans="3:19">
      <c r="C460" s="55"/>
      <c r="D460" s="55"/>
      <c r="E460" s="55"/>
      <c r="F460" s="56"/>
      <c r="G460" s="56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</row>
    <row r="461" spans="3:19">
      <c r="C461" s="55"/>
      <c r="D461" s="55"/>
      <c r="E461" s="55"/>
      <c r="F461" s="56"/>
      <c r="G461" s="56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</row>
    <row r="462" spans="3:19">
      <c r="C462" s="55"/>
      <c r="D462" s="55"/>
      <c r="E462" s="55"/>
      <c r="F462" s="56"/>
      <c r="G462" s="56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</row>
    <row r="463" spans="3:19">
      <c r="C463" s="55"/>
      <c r="D463" s="55"/>
      <c r="E463" s="55"/>
      <c r="F463" s="56"/>
      <c r="G463" s="56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</row>
    <row r="464" spans="3:19">
      <c r="C464" s="55"/>
      <c r="D464" s="55"/>
      <c r="E464" s="55"/>
      <c r="F464" s="56"/>
      <c r="G464" s="56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</row>
    <row r="465" spans="3:19">
      <c r="C465" s="55"/>
      <c r="D465" s="55"/>
      <c r="E465" s="55"/>
      <c r="F465" s="56"/>
      <c r="G465" s="56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</row>
    <row r="466" spans="3:19">
      <c r="C466" s="55"/>
      <c r="D466" s="55"/>
      <c r="E466" s="55"/>
      <c r="F466" s="56"/>
      <c r="G466" s="56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</row>
    <row r="467" spans="3:19">
      <c r="C467" s="55"/>
      <c r="D467" s="55"/>
      <c r="E467" s="55"/>
      <c r="F467" s="56"/>
      <c r="G467" s="56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</row>
    <row r="468" spans="3:19">
      <c r="C468" s="55"/>
      <c r="D468" s="55"/>
      <c r="E468" s="55"/>
      <c r="F468" s="56"/>
      <c r="G468" s="56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</row>
    <row r="469" spans="3:19">
      <c r="C469" s="55"/>
      <c r="D469" s="55"/>
      <c r="E469" s="55"/>
      <c r="F469" s="56"/>
      <c r="G469" s="56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</row>
    <row r="470" spans="3:19">
      <c r="C470" s="55"/>
      <c r="D470" s="55"/>
      <c r="E470" s="55"/>
      <c r="F470" s="56"/>
      <c r="G470" s="56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</row>
    <row r="471" spans="3:19">
      <c r="C471" s="55"/>
      <c r="D471" s="55"/>
      <c r="E471" s="55"/>
      <c r="F471" s="56"/>
      <c r="G471" s="56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</row>
    <row r="472" spans="3:19">
      <c r="C472" s="55"/>
      <c r="D472" s="55"/>
      <c r="E472" s="55"/>
      <c r="F472" s="56"/>
      <c r="G472" s="56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</row>
    <row r="473" spans="3:19">
      <c r="C473" s="55"/>
      <c r="D473" s="55"/>
      <c r="E473" s="55"/>
      <c r="F473" s="56"/>
      <c r="G473" s="56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</row>
    <row r="474" spans="3:19">
      <c r="C474" s="55"/>
      <c r="D474" s="55"/>
      <c r="E474" s="55"/>
      <c r="F474" s="56"/>
      <c r="G474" s="56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</row>
    <row r="475" spans="3:19">
      <c r="C475" s="55"/>
      <c r="D475" s="55"/>
      <c r="E475" s="55"/>
      <c r="F475" s="56"/>
      <c r="G475" s="56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</row>
    <row r="476" spans="3:19">
      <c r="C476" s="55"/>
      <c r="D476" s="55"/>
      <c r="E476" s="55"/>
      <c r="F476" s="56"/>
      <c r="G476" s="56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</row>
    <row r="477" spans="3:19">
      <c r="C477" s="55"/>
      <c r="D477" s="55"/>
      <c r="E477" s="55"/>
      <c r="F477" s="56"/>
      <c r="G477" s="56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</row>
    <row r="478" spans="3:19">
      <c r="C478" s="55"/>
      <c r="D478" s="55"/>
      <c r="E478" s="55"/>
      <c r="F478" s="56"/>
      <c r="G478" s="56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</row>
    <row r="479" spans="3:19">
      <c r="C479" s="55"/>
      <c r="D479" s="55"/>
      <c r="E479" s="55"/>
      <c r="F479" s="56"/>
      <c r="G479" s="56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</row>
    <row r="480" spans="3:19">
      <c r="C480" s="55"/>
      <c r="D480" s="55"/>
      <c r="E480" s="55"/>
      <c r="F480" s="56"/>
      <c r="G480" s="56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</row>
    <row r="481" spans="3:19">
      <c r="C481" s="55"/>
      <c r="D481" s="55"/>
      <c r="E481" s="55"/>
      <c r="F481" s="56"/>
      <c r="G481" s="56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</row>
    <row r="482" spans="3:19">
      <c r="C482" s="55"/>
      <c r="D482" s="55"/>
      <c r="E482" s="55"/>
      <c r="F482" s="56"/>
      <c r="G482" s="56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</row>
    <row r="483" spans="3:19">
      <c r="C483" s="55"/>
      <c r="D483" s="55"/>
      <c r="E483" s="55"/>
      <c r="F483" s="56"/>
      <c r="G483" s="56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</row>
    <row r="484" spans="3:19">
      <c r="C484" s="55"/>
      <c r="D484" s="55"/>
      <c r="E484" s="55"/>
      <c r="F484" s="56"/>
      <c r="G484" s="56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</row>
    <row r="485" spans="3:19">
      <c r="C485" s="55"/>
      <c r="D485" s="55"/>
      <c r="E485" s="55"/>
      <c r="F485" s="56"/>
      <c r="G485" s="56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</row>
    <row r="486" spans="3:19">
      <c r="C486" s="55"/>
      <c r="D486" s="55"/>
      <c r="E486" s="55"/>
      <c r="F486" s="56"/>
      <c r="G486" s="56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</row>
    <row r="487" spans="3:19">
      <c r="C487" s="55"/>
      <c r="D487" s="55"/>
      <c r="E487" s="55"/>
      <c r="F487" s="56"/>
      <c r="G487" s="56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</row>
    <row r="488" spans="3:19">
      <c r="C488" s="55"/>
      <c r="D488" s="55"/>
      <c r="E488" s="55"/>
      <c r="F488" s="56"/>
      <c r="G488" s="56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</row>
    <row r="489" spans="3:19">
      <c r="C489" s="55"/>
      <c r="D489" s="55"/>
      <c r="E489" s="55"/>
      <c r="F489" s="56"/>
      <c r="G489" s="56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</row>
  </sheetData>
  <sheetProtection algorithmName="SHA-512" hashValue="okLq9gNheQ/r71mwG6hi/26jmpO6ayc18bYWfXMAvc/H8ZKleg5JiUJC07K7W4uCp/HDV0LpDDqGWWhCl0KUMQ==" saltValue="PWdVwaAwV4PN0GHh8ZGRfw==" spinCount="100000" sheet="1" objects="1" scenarios="1"/>
  <dataConsolidate/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paperSize="8" scale="30" orientation="landscape" r:id="rId1"/>
  <headerFooter>
    <oddFooter>&amp;LPR19 EN01 - Indice de révision 09&amp;CRapport d'essai Invertébrés N° 20210506945001INV&amp;RN°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B1048575"/>
  <sheetViews>
    <sheetView showGridLines="0" topLeftCell="A73" zoomScale="86" zoomScaleNormal="86" workbookViewId="0">
      <selection activeCell="M118" sqref="M118"/>
    </sheetView>
  </sheetViews>
  <sheetFormatPr baseColWidth="10" defaultColWidth="9.140625" defaultRowHeight="12.75"/>
  <cols>
    <col min="1" max="1" width="9.140625" style="192" customWidth="1"/>
    <col min="2" max="2" width="12.5703125" style="192" customWidth="1"/>
    <col min="3" max="25" width="9.140625" style="192" customWidth="1"/>
    <col min="26" max="26" width="14.42578125" style="192" customWidth="1"/>
    <col min="27" max="29" width="13.140625" style="192" hidden="1" customWidth="1"/>
    <col min="30" max="62" width="9.140625" style="192" hidden="1" customWidth="1"/>
    <col min="63" max="63" width="0.28515625" style="192" hidden="1" customWidth="1"/>
    <col min="64" max="71" width="9.140625" style="192" hidden="1" customWidth="1"/>
    <col min="72" max="72" width="1.5703125" style="192" hidden="1" customWidth="1"/>
    <col min="73" max="95" width="9.140625" style="192" hidden="1" customWidth="1"/>
    <col min="96" max="262" width="9.140625" style="192" customWidth="1"/>
    <col min="263" max="16384" width="9.140625" style="149"/>
  </cols>
  <sheetData>
    <row r="1" spans="1:262" ht="47.85" customHeight="1">
      <c r="A1" s="676" t="s">
        <v>18437</v>
      </c>
      <c r="B1" s="676"/>
      <c r="C1" s="676"/>
      <c r="D1" s="677" t="s">
        <v>18220</v>
      </c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8" t="s">
        <v>18436</v>
      </c>
      <c r="Y1" s="678"/>
      <c r="Z1" s="678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  <c r="IN1" s="149"/>
      <c r="IO1" s="149"/>
      <c r="IP1" s="149"/>
      <c r="IQ1" s="149"/>
      <c r="IR1" s="149"/>
      <c r="IS1" s="149"/>
      <c r="IT1" s="149"/>
      <c r="IU1" s="149"/>
      <c r="IV1" s="149"/>
      <c r="IW1" s="149"/>
      <c r="IX1" s="149"/>
      <c r="IY1" s="149"/>
      <c r="IZ1" s="149"/>
      <c r="JA1" s="149"/>
      <c r="JB1" s="149"/>
    </row>
    <row r="2" spans="1:262" ht="17.25" customHeight="1">
      <c r="A2" s="402"/>
      <c r="B2" s="403" t="s">
        <v>18419</v>
      </c>
      <c r="C2" s="404"/>
      <c r="D2" s="404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6"/>
      <c r="Z2" s="406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</row>
    <row r="3" spans="1:262" ht="14.85" customHeight="1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7" t="s">
        <v>18219</v>
      </c>
      <c r="Z3" s="407" t="s">
        <v>18218</v>
      </c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</row>
    <row r="4" spans="1:262" ht="14.85" customHeight="1">
      <c r="A4" s="405"/>
      <c r="B4" s="408" t="s">
        <v>18217</v>
      </c>
      <c r="C4" s="679" t="str">
        <f>IF(L4=0,"",VLOOKUP(L4,'3-MO04-EN01-échantillonnage'!Station,2,0))</f>
        <v>CHAVANON</v>
      </c>
      <c r="D4" s="679"/>
      <c r="E4" s="679"/>
      <c r="F4" s="679"/>
      <c r="G4" s="679"/>
      <c r="H4" s="679"/>
      <c r="I4" s="405"/>
      <c r="J4" s="365" t="s">
        <v>18216</v>
      </c>
      <c r="K4" s="364"/>
      <c r="L4" s="680" t="s">
        <v>18706</v>
      </c>
      <c r="M4" s="681"/>
      <c r="N4" s="681"/>
      <c r="O4" s="409"/>
      <c r="P4" s="365" t="s">
        <v>18215</v>
      </c>
      <c r="Q4" s="410"/>
      <c r="R4" s="411"/>
      <c r="S4" s="682">
        <v>44439</v>
      </c>
      <c r="T4" s="682"/>
      <c r="U4" s="682"/>
      <c r="V4" s="682"/>
      <c r="W4" s="412"/>
      <c r="X4" s="413" t="s">
        <v>18214</v>
      </c>
      <c r="Y4" s="472">
        <v>0.42708333333333331</v>
      </c>
      <c r="Z4" s="472">
        <v>0.54166666666666663</v>
      </c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</row>
    <row r="5" spans="1:262" ht="14.85" customHeight="1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14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15"/>
      <c r="Z5" s="405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</row>
    <row r="6" spans="1:262" ht="14.85" customHeight="1">
      <c r="A6" s="405"/>
      <c r="B6" s="408" t="s">
        <v>18034</v>
      </c>
      <c r="C6" s="679" t="str">
        <f>IF(L4=0,"",VLOOKUP(L4,Station,3,0))</f>
        <v>CHAVANON A SAVENNES</v>
      </c>
      <c r="D6" s="679"/>
      <c r="E6" s="679"/>
      <c r="F6" s="679"/>
      <c r="G6" s="679"/>
      <c r="H6" s="679"/>
      <c r="I6" s="679"/>
      <c r="J6" s="679"/>
      <c r="K6" s="416"/>
      <c r="L6" s="365" t="s">
        <v>18213</v>
      </c>
      <c r="M6" s="364"/>
      <c r="N6" s="679" t="str">
        <f>IF(L4=0,"",VLOOKUP(L4,Station,10,0))</f>
        <v>Amont retenue de Bort les Orgues</v>
      </c>
      <c r="O6" s="679"/>
      <c r="P6" s="679"/>
      <c r="Q6" s="679"/>
      <c r="R6" s="679"/>
      <c r="S6" s="679"/>
      <c r="T6" s="679"/>
      <c r="U6" s="679"/>
      <c r="V6" s="679"/>
      <c r="W6" s="406"/>
      <c r="X6" s="365" t="s">
        <v>18212</v>
      </c>
      <c r="Y6" s="364"/>
      <c r="Z6" s="417" t="s">
        <v>18211</v>
      </c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</row>
    <row r="7" spans="1:262" ht="14.85" customHeight="1">
      <c r="A7" s="405"/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05"/>
      <c r="Q7" s="419"/>
      <c r="R7" s="418"/>
      <c r="S7" s="418"/>
      <c r="T7" s="418"/>
      <c r="U7" s="418"/>
      <c r="V7" s="418"/>
      <c r="W7" s="418"/>
      <c r="X7" s="418"/>
      <c r="Y7" s="405"/>
      <c r="Z7" s="405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  <c r="IX7" s="149"/>
      <c r="IY7" s="149"/>
      <c r="IZ7" s="149"/>
      <c r="JA7" s="149"/>
      <c r="JB7" s="149"/>
    </row>
    <row r="8" spans="1:262" s="335" customFormat="1" ht="14.85" customHeight="1">
      <c r="A8" s="675" t="s">
        <v>18210</v>
      </c>
      <c r="B8" s="675"/>
      <c r="C8" s="675"/>
      <c r="D8" s="675"/>
      <c r="E8" s="363"/>
      <c r="G8" s="675" t="s">
        <v>18209</v>
      </c>
      <c r="H8" s="675"/>
      <c r="I8" s="675"/>
      <c r="K8" s="686" t="s">
        <v>18208</v>
      </c>
      <c r="L8" s="686"/>
      <c r="M8" s="686"/>
      <c r="N8" s="686"/>
      <c r="O8" s="686"/>
      <c r="P8" s="199"/>
      <c r="Q8" s="362" t="s">
        <v>18207</v>
      </c>
      <c r="R8" s="361"/>
      <c r="S8" s="360"/>
      <c r="U8" s="684" t="s">
        <v>18206</v>
      </c>
      <c r="V8" s="684"/>
      <c r="W8" s="684"/>
      <c r="X8" s="684"/>
      <c r="Y8" s="684"/>
      <c r="Z8" s="684"/>
      <c r="AA8" s="149"/>
      <c r="AB8" s="149"/>
      <c r="AC8" s="149"/>
      <c r="AD8" s="149"/>
      <c r="AE8" s="149"/>
    </row>
    <row r="9" spans="1:262" ht="14.85" customHeight="1">
      <c r="A9" s="334" t="str">
        <f>IF($L$4=0,"",IF(COUNTA(A10:A14)=0,"cocher une case",""))</f>
        <v>cocher une case</v>
      </c>
      <c r="B9" s="199"/>
      <c r="C9" s="199"/>
      <c r="D9" s="199"/>
      <c r="E9" s="199"/>
      <c r="F9" s="335"/>
      <c r="G9" s="334"/>
      <c r="H9" s="334" t="str">
        <f>IF($L$4=0,"",IF(COUNTA(H10:H12)=0,"cocher une case",""))</f>
        <v>cocher une case</v>
      </c>
      <c r="I9" s="199"/>
      <c r="J9" s="199"/>
      <c r="K9" s="359" t="s">
        <v>18205</v>
      </c>
      <c r="L9" s="358"/>
      <c r="M9" s="357"/>
      <c r="N9" s="356"/>
      <c r="O9" s="355"/>
      <c r="P9" s="199"/>
      <c r="Q9" s="334" t="str">
        <f>IF($L$4=0,"",IF(COUNTA(Q10:Q13)=0,"cocher une case",""))</f>
        <v>cocher une case</v>
      </c>
      <c r="R9" s="331"/>
      <c r="S9" s="199"/>
      <c r="T9" s="149"/>
      <c r="U9" s="353" t="s">
        <v>18204</v>
      </c>
      <c r="V9" s="354"/>
      <c r="W9" s="402"/>
      <c r="X9" s="353" t="s">
        <v>18203</v>
      </c>
      <c r="Y9" s="352"/>
      <c r="Z9" s="402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M9" s="149"/>
      <c r="AN9" s="149"/>
      <c r="AO9" s="149"/>
      <c r="AP9" s="149"/>
      <c r="AQ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</row>
    <row r="10" spans="1:262" ht="14.85" customHeight="1">
      <c r="A10" s="342"/>
      <c r="B10" s="199" t="s">
        <v>17955</v>
      </c>
      <c r="C10" s="334"/>
      <c r="D10" s="334"/>
      <c r="E10" s="334"/>
      <c r="F10" s="335"/>
      <c r="G10" s="149"/>
      <c r="H10" s="342"/>
      <c r="I10" s="199" t="s">
        <v>18202</v>
      </c>
      <c r="J10" s="199"/>
      <c r="K10" s="199"/>
      <c r="L10" s="334" t="str">
        <f>IF($L$4=0,"",IF(COUNTA(L11:L15)=0,"cocher une case",""))</f>
        <v>cocher une case</v>
      </c>
      <c r="M10" s="199"/>
      <c r="N10" s="199"/>
      <c r="O10" s="149"/>
      <c r="P10" s="199"/>
      <c r="Q10" s="342"/>
      <c r="R10" s="344" t="s">
        <v>18201</v>
      </c>
      <c r="S10" s="336"/>
      <c r="T10" s="332"/>
      <c r="U10" s="688" t="s">
        <v>18200</v>
      </c>
      <c r="V10" s="688"/>
      <c r="W10" s="688"/>
      <c r="X10" s="688" t="s">
        <v>18199</v>
      </c>
      <c r="Y10" s="688"/>
      <c r="Z10" s="688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M10" s="149"/>
      <c r="AN10" s="149"/>
      <c r="AO10" s="149"/>
      <c r="AP10" s="149"/>
      <c r="AQ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</row>
    <row r="11" spans="1:262" ht="14.85" customHeight="1">
      <c r="A11" s="342"/>
      <c r="B11" s="334" t="s">
        <v>17936</v>
      </c>
      <c r="C11" s="334"/>
      <c r="D11" s="199"/>
      <c r="E11" s="199"/>
      <c r="F11" s="335"/>
      <c r="G11" s="149"/>
      <c r="H11" s="342"/>
      <c r="I11" s="199" t="s">
        <v>18198</v>
      </c>
      <c r="J11" s="199"/>
      <c r="K11" s="199"/>
      <c r="L11" s="342"/>
      <c r="M11" s="199" t="s">
        <v>17955</v>
      </c>
      <c r="N11" s="199"/>
      <c r="O11" s="149"/>
      <c r="P11" s="332"/>
      <c r="Q11" s="342"/>
      <c r="R11" s="344" t="s">
        <v>17629</v>
      </c>
      <c r="S11" s="334"/>
      <c r="T11" s="199"/>
      <c r="U11" s="351" t="s">
        <v>18197</v>
      </c>
      <c r="V11" s="689">
        <v>658634</v>
      </c>
      <c r="W11" s="689"/>
      <c r="X11" s="351" t="s">
        <v>18197</v>
      </c>
      <c r="Y11" s="689">
        <v>658875</v>
      </c>
      <c r="Z11" s="68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M11" s="149"/>
      <c r="AN11" s="149"/>
      <c r="AO11" s="149"/>
      <c r="AP11" s="149"/>
      <c r="AQ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</row>
    <row r="12" spans="1:262" ht="14.85" customHeight="1">
      <c r="A12" s="342"/>
      <c r="B12" s="334" t="s">
        <v>17924</v>
      </c>
      <c r="C12" s="199"/>
      <c r="D12" s="334"/>
      <c r="E12" s="334"/>
      <c r="F12" s="335"/>
      <c r="G12" s="149"/>
      <c r="H12" s="342"/>
      <c r="I12" s="334" t="s">
        <v>18196</v>
      </c>
      <c r="J12" s="199"/>
      <c r="K12" s="199"/>
      <c r="L12" s="342"/>
      <c r="M12" s="199" t="s">
        <v>17937</v>
      </c>
      <c r="N12" s="332"/>
      <c r="O12" s="149"/>
      <c r="P12" s="199"/>
      <c r="Q12" s="342"/>
      <c r="R12" s="344" t="s">
        <v>18195</v>
      </c>
      <c r="S12" s="334"/>
      <c r="T12" s="149"/>
      <c r="U12" s="351" t="s">
        <v>18194</v>
      </c>
      <c r="V12" s="689">
        <v>6498757</v>
      </c>
      <c r="W12" s="689"/>
      <c r="X12" s="351" t="s">
        <v>18194</v>
      </c>
      <c r="Y12" s="689">
        <v>6498697</v>
      </c>
      <c r="Z12" s="68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M12" s="149"/>
      <c r="AN12" s="149"/>
      <c r="AO12" s="149"/>
      <c r="AP12" s="149"/>
      <c r="AQ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</row>
    <row r="13" spans="1:262" ht="14.85" customHeight="1">
      <c r="A13" s="342"/>
      <c r="B13" s="334" t="s">
        <v>17911</v>
      </c>
      <c r="C13" s="199"/>
      <c r="D13" s="334"/>
      <c r="E13" s="683" t="s">
        <v>18193</v>
      </c>
      <c r="F13" s="683"/>
      <c r="G13" s="343"/>
      <c r="H13" s="337"/>
      <c r="I13" s="337"/>
      <c r="J13" s="149"/>
      <c r="K13" s="337"/>
      <c r="L13" s="342"/>
      <c r="M13" s="199" t="s">
        <v>18192</v>
      </c>
      <c r="N13" s="199"/>
      <c r="O13" s="149"/>
      <c r="P13" s="149"/>
      <c r="Q13" s="342"/>
      <c r="R13" s="344" t="s">
        <v>18162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M13" s="149"/>
      <c r="AN13" s="149"/>
      <c r="AO13" s="149"/>
      <c r="AP13" s="149"/>
      <c r="AQ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</row>
    <row r="14" spans="1:262" ht="14.85" customHeight="1">
      <c r="A14" s="342"/>
      <c r="B14" s="334" t="s">
        <v>18191</v>
      </c>
      <c r="C14" s="199"/>
      <c r="D14" s="334"/>
      <c r="E14" s="334" t="str">
        <f>IF($L$4=0,"",IF(COUNTA(E15:E20)=0,"cocher une case",""))</f>
        <v>cocher une case</v>
      </c>
      <c r="F14" s="149"/>
      <c r="G14" s="149"/>
      <c r="H14" s="149"/>
      <c r="I14" s="149"/>
      <c r="J14" s="149"/>
      <c r="K14" s="199"/>
      <c r="L14" s="342"/>
      <c r="M14" s="199" t="s">
        <v>18190</v>
      </c>
      <c r="N14" s="199"/>
      <c r="O14" s="199"/>
      <c r="P14" s="149"/>
      <c r="Q14" s="149"/>
      <c r="R14" s="149"/>
      <c r="S14" s="149"/>
      <c r="T14" s="345" t="s">
        <v>18189</v>
      </c>
      <c r="U14" s="349" t="s">
        <v>18182</v>
      </c>
      <c r="V14" s="341" t="s">
        <v>18188</v>
      </c>
      <c r="W14" s="675" t="s">
        <v>18187</v>
      </c>
      <c r="X14" s="675"/>
      <c r="Y14" s="675"/>
      <c r="Z14" s="19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M14" s="149"/>
      <c r="AN14" s="149"/>
      <c r="AO14" s="149"/>
      <c r="AP14" s="149"/>
      <c r="AQ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</row>
    <row r="15" spans="1:262" ht="14.85" customHeight="1">
      <c r="A15" s="149"/>
      <c r="B15" s="337" t="s">
        <v>18186</v>
      </c>
      <c r="C15" s="149"/>
      <c r="D15" s="149"/>
      <c r="E15" s="342"/>
      <c r="F15" s="405" t="s">
        <v>18185</v>
      </c>
      <c r="G15" s="416"/>
      <c r="H15" s="416"/>
      <c r="I15" s="149"/>
      <c r="J15" s="149"/>
      <c r="K15" s="149"/>
      <c r="L15" s="342"/>
      <c r="M15" s="199" t="s">
        <v>18184</v>
      </c>
      <c r="N15" s="199"/>
      <c r="O15" s="350"/>
      <c r="P15" s="149"/>
      <c r="Q15" s="149"/>
      <c r="R15" s="149"/>
      <c r="S15" s="199"/>
      <c r="T15" s="345" t="s">
        <v>18183</v>
      </c>
      <c r="U15" s="349" t="s">
        <v>18182</v>
      </c>
      <c r="V15" s="199" t="s">
        <v>18171</v>
      </c>
      <c r="W15" s="149"/>
      <c r="X15" s="149"/>
      <c r="Y15" s="348"/>
      <c r="Z15" s="19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M15" s="149"/>
      <c r="AN15" s="149"/>
      <c r="AO15" s="149"/>
      <c r="AP15" s="149"/>
      <c r="AQ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</row>
    <row r="16" spans="1:262" ht="14.85" customHeight="1">
      <c r="A16" s="149"/>
      <c r="B16" s="149"/>
      <c r="C16" s="149"/>
      <c r="D16" s="331"/>
      <c r="E16" s="342"/>
      <c r="F16" s="405" t="s">
        <v>18181</v>
      </c>
      <c r="G16" s="421"/>
      <c r="H16" s="416"/>
      <c r="I16" s="149"/>
      <c r="J16" s="347" t="s">
        <v>17974</v>
      </c>
      <c r="K16" s="346"/>
      <c r="L16" s="312"/>
      <c r="M16" s="149"/>
      <c r="N16" s="333"/>
      <c r="O16" s="334" t="s">
        <v>18180</v>
      </c>
      <c r="P16" s="149"/>
      <c r="Q16" s="345"/>
      <c r="R16" s="345"/>
      <c r="S16" s="401">
        <f>I125</f>
        <v>18.2</v>
      </c>
      <c r="T16" s="199" t="s">
        <v>18171</v>
      </c>
      <c r="U16" s="340"/>
      <c r="W16" s="405" t="s">
        <v>18179</v>
      </c>
      <c r="X16" s="405"/>
      <c r="Y16" s="402"/>
      <c r="Z16" s="405" t="str">
        <f>IF($L$4=0,"",IF(COUNTA(Y16)=0,"cocher une case",""))</f>
        <v>cocher une case</v>
      </c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M16" s="149"/>
      <c r="AN16" s="149"/>
      <c r="AO16" s="149"/>
      <c r="AP16" s="149"/>
      <c r="AQ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</row>
    <row r="17" spans="1:94" ht="14.85" customHeight="1">
      <c r="A17" s="684" t="s">
        <v>18178</v>
      </c>
      <c r="B17" s="684"/>
      <c r="C17" s="684"/>
      <c r="D17" s="423"/>
      <c r="E17" s="342"/>
      <c r="F17" s="405" t="s">
        <v>18177</v>
      </c>
      <c r="G17" s="405"/>
      <c r="H17" s="422"/>
      <c r="I17" s="331"/>
      <c r="J17" s="334" t="str">
        <f>IF($L$4=0,"",IF(COUNTA(J18:J20)=0,"cocher une case",""))</f>
        <v>cocher une case</v>
      </c>
      <c r="K17" s="331"/>
      <c r="L17" s="149"/>
      <c r="M17" s="149"/>
      <c r="N17" s="332"/>
      <c r="O17" s="685" t="s">
        <v>18176</v>
      </c>
      <c r="P17" s="685"/>
      <c r="Q17" s="685"/>
      <c r="R17" s="685"/>
      <c r="S17" s="401">
        <f>K125</f>
        <v>13.8</v>
      </c>
      <c r="T17" s="199" t="s">
        <v>18171</v>
      </c>
      <c r="U17" s="340"/>
      <c r="W17" s="405" t="s">
        <v>18175</v>
      </c>
      <c r="X17" s="405"/>
      <c r="Y17" s="420" t="s">
        <v>18174</v>
      </c>
      <c r="Z17" s="371" t="s">
        <v>18229</v>
      </c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M17" s="149"/>
      <c r="AN17" s="149"/>
      <c r="AO17" s="149"/>
      <c r="AP17" s="149"/>
      <c r="AQ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</row>
    <row r="18" spans="1:94" ht="14.85" customHeight="1">
      <c r="A18" s="422" t="str">
        <f>IF($L$4=0,"",IF(COUNTA(A19:A20)=0,"cocher une case",""))</f>
        <v>cocher une case</v>
      </c>
      <c r="B18" s="405"/>
      <c r="C18" s="405"/>
      <c r="D18" s="423"/>
      <c r="E18" s="342"/>
      <c r="F18" s="419" t="s">
        <v>18173</v>
      </c>
      <c r="G18" s="405"/>
      <c r="H18" s="405"/>
      <c r="I18" s="199"/>
      <c r="J18" s="342"/>
      <c r="K18" s="334" t="s">
        <v>17954</v>
      </c>
      <c r="L18" s="149"/>
      <c r="M18" s="149"/>
      <c r="N18" s="334" t="s">
        <v>18172</v>
      </c>
      <c r="O18" s="149"/>
      <c r="P18" s="149"/>
      <c r="Q18" s="199"/>
      <c r="R18" s="332"/>
      <c r="S18" s="401">
        <f>M124</f>
        <v>250</v>
      </c>
      <c r="T18" s="199" t="s">
        <v>18171</v>
      </c>
      <c r="U18" s="340"/>
      <c r="W18" s="405" t="s">
        <v>18170</v>
      </c>
      <c r="X18" s="405"/>
      <c r="Y18" s="421" t="s">
        <v>18169</v>
      </c>
      <c r="Z18" s="372" t="s">
        <v>17628</v>
      </c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M18" s="149"/>
      <c r="AN18" s="149"/>
      <c r="AO18" s="149"/>
      <c r="AP18" s="149"/>
      <c r="AQ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</row>
    <row r="19" spans="1:94" ht="14.85" customHeight="1">
      <c r="A19" s="402"/>
      <c r="B19" s="422" t="s">
        <v>18168</v>
      </c>
      <c r="C19" s="405"/>
      <c r="D19" s="423"/>
      <c r="E19" s="342"/>
      <c r="F19" s="419" t="s">
        <v>18167</v>
      </c>
      <c r="G19" s="405"/>
      <c r="H19" s="405"/>
      <c r="I19" s="337"/>
      <c r="J19" s="342"/>
      <c r="K19" s="334" t="s">
        <v>73</v>
      </c>
      <c r="L19" s="149"/>
      <c r="M19" s="334" t="s">
        <v>18166</v>
      </c>
      <c r="N19" s="149"/>
      <c r="O19" s="149"/>
      <c r="P19" s="149"/>
      <c r="Q19" s="332"/>
      <c r="R19" s="332"/>
      <c r="S19" s="401">
        <f>S18*S17</f>
        <v>3450</v>
      </c>
      <c r="T19" s="341" t="s">
        <v>18159</v>
      </c>
      <c r="U19" s="340"/>
      <c r="W19" s="405" t="s">
        <v>18165</v>
      </c>
      <c r="X19" s="405"/>
      <c r="Y19" s="421" t="s">
        <v>18164</v>
      </c>
      <c r="Z19" s="373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M19" s="149"/>
      <c r="AN19" s="149"/>
      <c r="AO19" s="149"/>
      <c r="AP19" s="149"/>
      <c r="AQ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</row>
    <row r="20" spans="1:94" ht="14.85" customHeight="1">
      <c r="A20" s="402"/>
      <c r="B20" s="424" t="s">
        <v>18163</v>
      </c>
      <c r="C20" s="425"/>
      <c r="D20" s="423"/>
      <c r="E20" s="342"/>
      <c r="F20" s="419" t="s">
        <v>18162</v>
      </c>
      <c r="G20" s="700" t="s">
        <v>18161</v>
      </c>
      <c r="H20" s="700"/>
      <c r="I20" s="701"/>
      <c r="J20" s="342"/>
      <c r="K20" s="334" t="s">
        <v>17923</v>
      </c>
      <c r="L20" s="149"/>
      <c r="M20" s="199" t="s">
        <v>18160</v>
      </c>
      <c r="N20" s="199"/>
      <c r="O20" s="332"/>
      <c r="P20" s="199"/>
      <c r="Q20" s="199"/>
      <c r="R20" s="199"/>
      <c r="S20" s="401">
        <f>S19*0.05</f>
        <v>172.5</v>
      </c>
      <c r="T20" s="341" t="s">
        <v>18159</v>
      </c>
      <c r="U20" s="340"/>
      <c r="W20" s="149"/>
      <c r="X20" s="149"/>
      <c r="Y20" s="149"/>
      <c r="Z20" s="33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M20" s="149"/>
      <c r="AN20" s="149"/>
      <c r="AO20" s="149"/>
      <c r="AP20" s="149"/>
      <c r="AQ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</row>
    <row r="21" spans="1:94" ht="14.85" customHeight="1">
      <c r="A21" s="338"/>
      <c r="B21" s="337" t="s">
        <v>18158</v>
      </c>
      <c r="C21" s="336"/>
      <c r="D21" s="331"/>
      <c r="E21" s="335"/>
      <c r="F21" s="335"/>
      <c r="G21" s="335"/>
      <c r="H21" s="334"/>
      <c r="I21" s="199"/>
      <c r="J21" s="333"/>
      <c r="K21" s="199"/>
      <c r="L21" s="199"/>
      <c r="M21" s="199"/>
      <c r="N21" s="332"/>
      <c r="O21" s="332"/>
      <c r="P21" s="199"/>
      <c r="Q21" s="199"/>
      <c r="R21" s="199"/>
      <c r="S21" s="199"/>
      <c r="T21" s="199"/>
      <c r="U21" s="199"/>
      <c r="V21" s="199"/>
      <c r="W21" s="199"/>
      <c r="X21" s="331"/>
      <c r="Y21" s="331"/>
      <c r="Z21" s="331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M21" s="149"/>
      <c r="AN21" s="149"/>
      <c r="AO21" s="149"/>
      <c r="AP21" s="149"/>
      <c r="AQ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687" t="s">
        <v>18157</v>
      </c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7"/>
      <c r="BR21" s="687"/>
      <c r="BS21" s="687"/>
      <c r="BT21" s="687"/>
      <c r="BU21" s="687"/>
      <c r="BV21" s="687"/>
      <c r="BW21" s="687"/>
      <c r="BX21" s="687"/>
      <c r="BY21" s="687"/>
      <c r="BZ21" s="687"/>
      <c r="CA21" s="687"/>
      <c r="CB21" s="687"/>
      <c r="CC21" s="687"/>
      <c r="CD21" s="687"/>
      <c r="CE21" s="687" t="s">
        <v>18089</v>
      </c>
      <c r="CF21" s="687"/>
      <c r="CG21" s="687"/>
      <c r="CH21" s="687"/>
      <c r="CI21" s="687"/>
      <c r="CJ21" s="687"/>
      <c r="CK21" s="687"/>
      <c r="CL21" s="687"/>
      <c r="CM21" s="687"/>
      <c r="CN21" s="687"/>
      <c r="CO21" s="687"/>
      <c r="CP21" s="687"/>
    </row>
    <row r="22" spans="1:94" ht="14.85" customHeight="1">
      <c r="A22" s="330" t="s">
        <v>18156</v>
      </c>
      <c r="B22" s="329"/>
      <c r="C22" s="329"/>
      <c r="D22" s="329"/>
      <c r="E22" s="329"/>
      <c r="F22" s="316"/>
      <c r="G22" s="328" t="s">
        <v>18155</v>
      </c>
      <c r="H22" s="327" t="s">
        <v>18154</v>
      </c>
      <c r="I22" s="675" t="s">
        <v>18145</v>
      </c>
      <c r="J22" s="675"/>
      <c r="K22" s="675"/>
      <c r="L22" s="673" t="s">
        <v>18144</v>
      </c>
      <c r="M22" s="673"/>
      <c r="N22" s="673"/>
      <c r="O22" s="673" t="s">
        <v>18143</v>
      </c>
      <c r="P22" s="673"/>
      <c r="Q22" s="673"/>
      <c r="R22" s="326"/>
      <c r="S22" s="326" t="s">
        <v>18142</v>
      </c>
      <c r="T22" s="389"/>
      <c r="U22" s="199"/>
      <c r="V22" s="693" t="s">
        <v>18153</v>
      </c>
      <c r="W22" s="325" t="s">
        <v>18152</v>
      </c>
      <c r="X22" s="317" t="s">
        <v>18151</v>
      </c>
      <c r="Y22" s="317" t="s">
        <v>18150</v>
      </c>
      <c r="Z22" s="314" t="s">
        <v>18149</v>
      </c>
      <c r="AA22" s="149"/>
      <c r="AB22" s="690" t="s">
        <v>18148</v>
      </c>
      <c r="AC22" s="690"/>
      <c r="AD22" s="690"/>
      <c r="AE22" s="690"/>
      <c r="AF22" s="690"/>
      <c r="AG22" s="548" t="s">
        <v>18554</v>
      </c>
      <c r="AH22" s="548" t="s">
        <v>18555</v>
      </c>
      <c r="AI22" s="548" t="s">
        <v>18556</v>
      </c>
      <c r="AJ22" s="548" t="s">
        <v>18133</v>
      </c>
      <c r="AK22" s="548"/>
      <c r="AM22" s="690" t="s">
        <v>18147</v>
      </c>
      <c r="AN22" s="690"/>
      <c r="AO22" s="690"/>
      <c r="AP22" s="690"/>
      <c r="AQ22" s="690"/>
      <c r="AS22" s="690" t="s">
        <v>18146</v>
      </c>
      <c r="AT22" s="690"/>
      <c r="AU22" s="690"/>
      <c r="AV22" s="690"/>
      <c r="AW22" s="690"/>
      <c r="AX22" s="690"/>
      <c r="AY22" s="690"/>
      <c r="AZ22" s="690"/>
      <c r="BA22" s="149"/>
      <c r="BB22" s="149"/>
      <c r="BC22" s="149"/>
      <c r="BD22" s="691" t="s">
        <v>18145</v>
      </c>
      <c r="BE22" s="691"/>
      <c r="BF22" s="691"/>
      <c r="BG22" s="692" t="s">
        <v>18144</v>
      </c>
      <c r="BH22" s="692"/>
      <c r="BI22" s="692"/>
      <c r="BJ22" s="692" t="s">
        <v>18143</v>
      </c>
      <c r="BK22" s="692"/>
      <c r="BL22" s="692"/>
      <c r="BM22" s="324"/>
      <c r="BN22" s="323" t="s">
        <v>18142</v>
      </c>
      <c r="BO22" s="307"/>
      <c r="BP22" s="322" t="s">
        <v>18141</v>
      </c>
      <c r="BQ22" s="322" t="s">
        <v>18140</v>
      </c>
      <c r="BR22" s="322" t="s">
        <v>18139</v>
      </c>
      <c r="BS22" s="322" t="s">
        <v>81</v>
      </c>
      <c r="BT22" s="322" t="s">
        <v>82</v>
      </c>
      <c r="BU22" s="322" t="s">
        <v>83</v>
      </c>
      <c r="BV22" s="322" t="s">
        <v>84</v>
      </c>
      <c r="BW22" s="322" t="s">
        <v>85</v>
      </c>
      <c r="BX22" s="322" t="s">
        <v>86</v>
      </c>
      <c r="BY22" s="322" t="s">
        <v>87</v>
      </c>
      <c r="BZ22" s="322" t="s">
        <v>88</v>
      </c>
      <c r="CA22" s="322" t="s">
        <v>89</v>
      </c>
      <c r="CB22" s="322" t="s">
        <v>90</v>
      </c>
      <c r="CC22" s="322" t="s">
        <v>91</v>
      </c>
      <c r="CD22" s="322" t="s">
        <v>92</v>
      </c>
      <c r="CE22" s="322" t="s">
        <v>81</v>
      </c>
      <c r="CF22" s="322" t="s">
        <v>82</v>
      </c>
      <c r="CG22" s="322" t="s">
        <v>83</v>
      </c>
      <c r="CH22" s="322" t="s">
        <v>84</v>
      </c>
      <c r="CI22" s="322" t="s">
        <v>85</v>
      </c>
      <c r="CJ22" s="322" t="s">
        <v>86</v>
      </c>
      <c r="CK22" s="322" t="s">
        <v>87</v>
      </c>
      <c r="CL22" s="322" t="s">
        <v>88</v>
      </c>
      <c r="CM22" s="322" t="s">
        <v>89</v>
      </c>
      <c r="CN22" s="322" t="s">
        <v>90</v>
      </c>
      <c r="CO22" s="322" t="s">
        <v>91</v>
      </c>
      <c r="CP22" s="322" t="s">
        <v>92</v>
      </c>
    </row>
    <row r="23" spans="1:94" ht="14.85" customHeight="1" thickBot="1">
      <c r="A23" s="321"/>
      <c r="B23" s="320"/>
      <c r="C23" s="320"/>
      <c r="D23" s="320"/>
      <c r="E23" s="320"/>
      <c r="F23" s="319"/>
      <c r="G23" s="319"/>
      <c r="H23" s="318"/>
      <c r="I23" s="317"/>
      <c r="J23" s="316" t="s">
        <v>18120</v>
      </c>
      <c r="K23" s="315"/>
      <c r="L23" s="316"/>
      <c r="M23" s="316" t="s">
        <v>18119</v>
      </c>
      <c r="N23" s="315"/>
      <c r="O23" s="316"/>
      <c r="P23" s="316" t="s">
        <v>18118</v>
      </c>
      <c r="Q23" s="315"/>
      <c r="R23" s="316"/>
      <c r="S23" s="316" t="s">
        <v>18117</v>
      </c>
      <c r="T23" s="315"/>
      <c r="U23" s="199"/>
      <c r="V23" s="693"/>
      <c r="W23" s="269" t="s">
        <v>18138</v>
      </c>
      <c r="X23" s="314" t="s">
        <v>18137</v>
      </c>
      <c r="Y23" s="313" t="s">
        <v>18136</v>
      </c>
      <c r="Z23" s="312"/>
      <c r="AA23" s="149"/>
      <c r="AB23" s="549" t="s">
        <v>18131</v>
      </c>
      <c r="AC23" s="550" t="s">
        <v>18135</v>
      </c>
      <c r="AD23" s="551" t="s">
        <v>18134</v>
      </c>
      <c r="AE23" s="552" t="s">
        <v>18133</v>
      </c>
      <c r="AF23" s="551" t="s">
        <v>18132</v>
      </c>
      <c r="AG23" s="551"/>
      <c r="AH23" s="551"/>
      <c r="AI23" s="551"/>
      <c r="AJ23" s="551"/>
      <c r="AK23" s="551"/>
      <c r="AM23" s="549" t="s">
        <v>18131</v>
      </c>
      <c r="AN23" s="550" t="s">
        <v>18130</v>
      </c>
      <c r="AO23" s="551" t="s">
        <v>18134</v>
      </c>
      <c r="AP23" s="552" t="s">
        <v>18133</v>
      </c>
      <c r="AQ23" s="551" t="s">
        <v>18132</v>
      </c>
      <c r="AS23" s="549" t="s">
        <v>18131</v>
      </c>
      <c r="AT23" s="549" t="s">
        <v>18130</v>
      </c>
      <c r="AU23" s="550" t="s">
        <v>18129</v>
      </c>
      <c r="AV23" s="560" t="s">
        <v>18128</v>
      </c>
      <c r="AW23" s="552" t="s">
        <v>18127</v>
      </c>
      <c r="AX23" s="551" t="s">
        <v>18126</v>
      </c>
      <c r="AY23" s="551" t="s">
        <v>18125</v>
      </c>
      <c r="AZ23" s="551" t="s">
        <v>18124</v>
      </c>
      <c r="BA23" s="551" t="s">
        <v>18123</v>
      </c>
      <c r="BB23" s="551" t="s">
        <v>18122</v>
      </c>
      <c r="BC23" s="551" t="s">
        <v>18121</v>
      </c>
      <c r="BD23" s="309"/>
      <c r="BE23" s="308" t="s">
        <v>18120</v>
      </c>
      <c r="BF23" s="307"/>
      <c r="BG23" s="311"/>
      <c r="BH23" s="311" t="s">
        <v>18119</v>
      </c>
      <c r="BI23" s="310"/>
      <c r="BJ23" s="311"/>
      <c r="BK23" s="311" t="s">
        <v>18118</v>
      </c>
      <c r="BL23" s="310"/>
      <c r="BM23" s="309"/>
      <c r="BN23" s="308" t="s">
        <v>18117</v>
      </c>
      <c r="BO23" s="307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6"/>
      <c r="CH23" s="306"/>
      <c r="CI23" s="306"/>
      <c r="CJ23" s="306"/>
      <c r="CK23" s="306"/>
      <c r="CL23" s="306"/>
      <c r="CM23" s="306"/>
      <c r="CN23" s="306"/>
      <c r="CO23" s="306"/>
      <c r="CP23" s="306"/>
    </row>
    <row r="24" spans="1:94" ht="14.85" customHeight="1" thickBot="1">
      <c r="A24" s="305" t="s">
        <v>18116</v>
      </c>
      <c r="B24" s="304"/>
      <c r="C24" s="304"/>
      <c r="D24" s="674" t="s">
        <v>18115</v>
      </c>
      <c r="E24" s="674"/>
      <c r="F24" s="674"/>
      <c r="G24" s="303" t="s">
        <v>18114</v>
      </c>
      <c r="H24" s="302"/>
      <c r="I24" s="301"/>
      <c r="J24" s="273" t="s">
        <v>8</v>
      </c>
      <c r="K24" s="300"/>
      <c r="L24" s="301"/>
      <c r="M24" s="273" t="s">
        <v>5</v>
      </c>
      <c r="N24" s="300"/>
      <c r="O24" s="301"/>
      <c r="P24" s="273" t="s">
        <v>2</v>
      </c>
      <c r="Q24" s="300"/>
      <c r="R24" s="301"/>
      <c r="S24" s="273" t="s">
        <v>11</v>
      </c>
      <c r="T24" s="300"/>
      <c r="U24" s="199"/>
      <c r="V24" s="693"/>
      <c r="W24" s="246" t="s">
        <v>18113</v>
      </c>
      <c r="X24" s="299" t="s">
        <v>18112</v>
      </c>
      <c r="Y24" s="694" t="s">
        <v>18111</v>
      </c>
      <c r="Z24" s="694"/>
      <c r="AB24" s="553"/>
      <c r="AC24" s="553"/>
      <c r="AD24" s="553"/>
      <c r="AE24" s="554"/>
      <c r="AF24" s="553"/>
      <c r="AG24" s="553"/>
      <c r="AH24" s="553"/>
      <c r="AI24" s="553"/>
      <c r="AJ24" s="553"/>
      <c r="AK24" s="553"/>
      <c r="AM24" s="553"/>
      <c r="AN24" s="553"/>
      <c r="AO24" s="553"/>
      <c r="AP24" s="554"/>
      <c r="AQ24" s="553"/>
      <c r="AS24" s="553"/>
      <c r="AT24" s="553"/>
      <c r="AU24" s="553"/>
      <c r="AV24" s="553"/>
      <c r="AW24" s="554"/>
      <c r="AX24" s="553"/>
      <c r="AY24" s="553"/>
      <c r="AZ24" s="553"/>
      <c r="BA24" s="553"/>
      <c r="BB24" s="557"/>
      <c r="BC24" s="561"/>
      <c r="BD24" s="259"/>
      <c r="BE24" s="258" t="s">
        <v>18110</v>
      </c>
      <c r="BF24" s="256"/>
      <c r="BG24" s="259"/>
      <c r="BH24" s="258" t="s">
        <v>5</v>
      </c>
      <c r="BI24" s="256"/>
      <c r="BJ24" s="259"/>
      <c r="BK24" s="258" t="s">
        <v>2</v>
      </c>
      <c r="BL24" s="256"/>
      <c r="BM24" s="259"/>
      <c r="BN24" s="258" t="s">
        <v>11</v>
      </c>
      <c r="BO24" s="256"/>
      <c r="BP24" s="257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85" customHeight="1">
      <c r="A25" s="283"/>
      <c r="B25" s="282"/>
      <c r="C25" s="282"/>
      <c r="D25" s="281"/>
      <c r="E25" s="298"/>
      <c r="F25" s="275"/>
      <c r="G25" s="286"/>
      <c r="H25" s="273" t="s">
        <v>18093</v>
      </c>
      <c r="I25" s="661"/>
      <c r="J25" s="654"/>
      <c r="K25" s="367"/>
      <c r="L25" s="661"/>
      <c r="M25" s="654">
        <v>1</v>
      </c>
      <c r="N25" s="367"/>
      <c r="O25" s="661"/>
      <c r="P25" s="654"/>
      <c r="Q25" s="381"/>
      <c r="R25" s="661"/>
      <c r="S25" s="654"/>
      <c r="T25" s="367"/>
      <c r="U25" s="272" t="str">
        <f>IF($L$4=0,"",IF(COUNTA(I25:T26)=W27,"",IF(AND(COUNTA(I25:T26)=0,V27=0),"","Nb.prel")))</f>
        <v/>
      </c>
      <c r="V25" s="271"/>
      <c r="W25" s="271"/>
      <c r="X25" s="565"/>
      <c r="Y25" s="565"/>
      <c r="Z25" s="565"/>
      <c r="AB25" s="549"/>
      <c r="AC25" s="549"/>
      <c r="AD25" s="549"/>
      <c r="AE25" s="549"/>
      <c r="AF25" s="549"/>
      <c r="AG25" s="549"/>
      <c r="AH25" s="549"/>
      <c r="AI25" s="549"/>
      <c r="AJ25" s="549"/>
      <c r="AK25" s="549"/>
      <c r="AM25" s="549"/>
      <c r="AN25" s="549"/>
      <c r="AO25" s="549"/>
      <c r="AP25" s="549"/>
      <c r="AQ25" s="549"/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50"/>
      <c r="BD25" s="259">
        <f>COUNTIF(I25:K25,"&gt;0")</f>
        <v>0</v>
      </c>
      <c r="BE25" s="258"/>
      <c r="BF25" s="256"/>
      <c r="BG25" s="259">
        <f>COUNTIF(L25:N25,"&gt;0")</f>
        <v>1</v>
      </c>
      <c r="BH25" s="258"/>
      <c r="BI25" s="256"/>
      <c r="BJ25" s="259">
        <f>COUNTIF(O25:Q25,"&gt;0")</f>
        <v>0</v>
      </c>
      <c r="BK25" s="258"/>
      <c r="BL25" s="256"/>
      <c r="BM25" s="259">
        <f>COUNTIF(R25:T25,"&gt;0")</f>
        <v>0</v>
      </c>
      <c r="BN25" s="258"/>
      <c r="BO25" s="256"/>
      <c r="BP25" s="257"/>
      <c r="BQ25" s="256"/>
      <c r="BR25" s="256"/>
      <c r="BS25" s="256">
        <f>COUNTIF(I25:T25,1)</f>
        <v>1</v>
      </c>
      <c r="BT25" s="256">
        <f>COUNTIF(I25:T25,2)</f>
        <v>0</v>
      </c>
      <c r="BU25" s="256">
        <f>COUNTIF(I25:T25,3)</f>
        <v>0</v>
      </c>
      <c r="BV25" s="256">
        <f>COUNTIF(I25:T25,4)</f>
        <v>0</v>
      </c>
      <c r="BW25" s="256">
        <f>COUNTIF(I25:T25,5)</f>
        <v>0</v>
      </c>
      <c r="BX25" s="256">
        <f>COUNTIF(I25:T25,6)</f>
        <v>0</v>
      </c>
      <c r="BY25" s="256">
        <f>COUNTIF(I25:T25,7)</f>
        <v>0</v>
      </c>
      <c r="BZ25" s="256">
        <f>COUNTIF(I25:T25,8)</f>
        <v>0</v>
      </c>
      <c r="CA25" s="256">
        <f>COUNTIF(I25:T25,9)</f>
        <v>0</v>
      </c>
      <c r="CB25" s="256">
        <f>COUNTIF(I25:T25,10)</f>
        <v>0</v>
      </c>
      <c r="CC25" s="256">
        <f>COUNTIF(I25:T25,11)</f>
        <v>0</v>
      </c>
      <c r="CD25" s="256">
        <f>COUNTIF(I25:T25,12)</f>
        <v>0</v>
      </c>
      <c r="CE25" s="256" t="e">
        <f>IF(BS25=0,0,HLOOKUP(1,$I$26:$T$31,3,FALSE()))</f>
        <v>#N/A</v>
      </c>
      <c r="CF25" s="256">
        <f>IF(BT25=0,0,HLOOKUP(2,$I$26:$T$31,3,FALSE()))</f>
        <v>0</v>
      </c>
      <c r="CG25" s="256">
        <f>IF(BU25=0,0,HLOOKUP(3,$I$26:$T$31,3,FALSE()))</f>
        <v>0</v>
      </c>
      <c r="CH25" s="256">
        <f>IF(BV25=0,0,HLOOKUP(4,$I$26:$T$31,3,FALSE()))</f>
        <v>0</v>
      </c>
      <c r="CI25" s="256">
        <f>IF(BW25=0,0,HLOOKUP(5,$I$26:$T$31,3,FALSE()))</f>
        <v>0</v>
      </c>
      <c r="CJ25" s="256">
        <f>IF(BX25=0,0,HLOOKUP(6,$I$26:$T$31,3,FALSE()))</f>
        <v>0</v>
      </c>
      <c r="CK25" s="256">
        <f>IF(BY25=0,0,HLOOKUP(7,$I$26:$T$31,3,FALSE()))</f>
        <v>0</v>
      </c>
      <c r="CL25" s="256">
        <f>IF(BZ25=0,0,HLOOKUP(8,$I$26:$T$31,3,FALSE()))</f>
        <v>0</v>
      </c>
      <c r="CM25" s="256">
        <f>IF(CA25=0,0,HLOOKUP(9,$I$26:$T$31,3,FALSE()))</f>
        <v>0</v>
      </c>
      <c r="CN25" s="256">
        <f>IF(CB25=0,0,HLOOKUP(10,$I$26:$T$31,3,FALSE()))</f>
        <v>0</v>
      </c>
      <c r="CO25" s="256">
        <f>IF(CC25=0,0,HLOOKUP(11,$I$26:$T$31,3,FALSE()))</f>
        <v>0</v>
      </c>
      <c r="CP25" s="256">
        <f>IF(CD25=0,0,HLOOKUP(12,$I$26:$T$31,3,FALSE()))</f>
        <v>0</v>
      </c>
    </row>
    <row r="26" spans="1:94" ht="14.85" customHeight="1">
      <c r="A26" s="255"/>
      <c r="B26" s="248"/>
      <c r="C26" s="248"/>
      <c r="D26" s="659"/>
      <c r="E26" s="659"/>
      <c r="F26" s="241"/>
      <c r="G26" s="285"/>
      <c r="H26" s="254"/>
      <c r="I26" s="662"/>
      <c r="J26" s="655"/>
      <c r="K26" s="368"/>
      <c r="L26" s="662"/>
      <c r="M26" s="655"/>
      <c r="N26" s="368"/>
      <c r="O26" s="662"/>
      <c r="P26" s="655"/>
      <c r="Q26" s="368"/>
      <c r="R26" s="662"/>
      <c r="S26" s="655"/>
      <c r="T26" s="368"/>
      <c r="U26" s="201"/>
      <c r="V26" s="222"/>
      <c r="W26" s="222"/>
      <c r="X26" s="546"/>
      <c r="Y26" s="546"/>
      <c r="Z26" s="546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M26" s="555"/>
      <c r="AN26" s="555"/>
      <c r="AO26" s="555"/>
      <c r="AP26" s="555"/>
      <c r="AQ26" s="555"/>
      <c r="AS26" s="555"/>
      <c r="AT26" s="555"/>
      <c r="AU26" s="555"/>
      <c r="AV26" s="555"/>
      <c r="AW26" s="555"/>
      <c r="AX26" s="555"/>
      <c r="AY26" s="555"/>
      <c r="AZ26" s="555"/>
      <c r="BA26" s="555"/>
      <c r="BB26" s="555"/>
      <c r="BC26" s="562"/>
      <c r="BD26" s="252"/>
      <c r="BE26" s="251"/>
      <c r="BF26" s="249"/>
      <c r="BG26" s="252"/>
      <c r="BH26" s="251"/>
      <c r="BI26" s="249"/>
      <c r="BJ26" s="252"/>
      <c r="BK26" s="251"/>
      <c r="BL26" s="249"/>
      <c r="BM26" s="252"/>
      <c r="BN26" s="251"/>
      <c r="BO26" s="249"/>
      <c r="BP26" s="250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</row>
    <row r="27" spans="1:94" ht="14.85" customHeight="1">
      <c r="A27" s="245" t="s">
        <v>17995</v>
      </c>
      <c r="B27" s="244"/>
      <c r="C27" s="244"/>
      <c r="D27" s="659" t="s">
        <v>18091</v>
      </c>
      <c r="E27" s="659"/>
      <c r="F27" s="241"/>
      <c r="G27" s="285"/>
      <c r="H27" s="239" t="s">
        <v>18087</v>
      </c>
      <c r="I27" s="660" t="s">
        <v>17930</v>
      </c>
      <c r="J27" s="660"/>
      <c r="K27" s="660"/>
      <c r="L27" s="660" t="s">
        <v>17916</v>
      </c>
      <c r="M27" s="660"/>
      <c r="N27" s="660"/>
      <c r="O27" s="660" t="s">
        <v>17942</v>
      </c>
      <c r="P27" s="660"/>
      <c r="Q27" s="660"/>
      <c r="R27" s="660" t="s">
        <v>17961</v>
      </c>
      <c r="S27" s="660"/>
      <c r="T27" s="660"/>
      <c r="U27" s="201" t="str">
        <f>IF($L$4=0,"",IF(COUNTBLANK(I25:T25)=12,"",IF(COUNTBLANK(I27:T27)=12,"% rec.",IF(OR(COUNTIF(I27:T27,"x")&gt;1,COUNTIF(I27:T27,"xx")&gt;1,COUNTIF(I27:T27,"xxx")&gt;1,COUNTIF(I27:T27,"xxxx")&gt;1),"% rec.",""))))</f>
        <v/>
      </c>
      <c r="V27" s="268">
        <v>1</v>
      </c>
      <c r="W27" s="206">
        <f>IF(V27=0,"",SUM(X27:Z27))</f>
        <v>1</v>
      </c>
      <c r="X27" s="546">
        <f>IF(V27=0,"",IF(SUM(AB27,AD27,AE27,AF27,AG27,AI27,AJ27)=0,"",(IF(MAX($AC$27:$AC$93)&lt;1,SUM(AB27,AD27,AE27,AF27,AG27,AI27,AJ27),IF(OR(V27=0,AB27=0),"",IF(AB27=1,SUM(AB27,AD27,AE27,AF27,AG27,AI27),0))))))</f>
        <v>1</v>
      </c>
      <c r="Y27" s="546" t="str">
        <f>IF(OR(V27=0,SUM(AM27,AO27,AP27,AQ27)=0,V27="P"),"",SUM(AM27,AO27,AP27,AQ27))</f>
        <v/>
      </c>
      <c r="Z27" s="546" t="str">
        <f>IF(OR(V27=0,SUM(AS27,AU27,AW27,AY27,BA27,BC27)=0),"",IF(SUM(AU27,AW27,AY27,BA27)=0,"",SUM(AU27,AW27,AY27,BA27)))</f>
        <v/>
      </c>
      <c r="AB27" s="556">
        <f>IF(V27=0,0,IF(V27&lt;5,1,0))</f>
        <v>1</v>
      </c>
      <c r="AC27" s="556">
        <f>IF(OR(V27=0,V27&gt;4.9),0,V27)</f>
        <v>1</v>
      </c>
      <c r="AD27" s="556">
        <f>IF(AC27&lt;1,0,IF($AB$98=4,0,IF(MAX($AC$27:$AC$93)=AC27,1,0)))</f>
        <v>0</v>
      </c>
      <c r="AE27" s="556">
        <f>IF(SUM($AB$98,$AD$98)=4,0,IF(AND($AB$98=2,MIN(AC15:AC81)&lt;1,AC27&gt;0.99),1,0))</f>
        <v>0</v>
      </c>
      <c r="AF27" s="556">
        <f>IF(AND($AB$98=1,AC27&gt;0.99),1,0)</f>
        <v>0</v>
      </c>
      <c r="AG27" s="556">
        <f>IF($AN$98&lt;9,0,IF($AC$99=0,BC27))</f>
        <v>0</v>
      </c>
      <c r="AH27" s="556">
        <f>IF(AND(MAX($AC$27:$AC$93)&lt;1,AN27&gt;4.9),1,0)</f>
        <v>0</v>
      </c>
      <c r="AI27" s="556">
        <f>IF($AH$27=1,1,0)</f>
        <v>0</v>
      </c>
      <c r="AJ27" s="556">
        <f>IF(AND(SUM($AI$98,$AC$98,$AG$98)=3,AI27=1),1,0)</f>
        <v>0</v>
      </c>
      <c r="AK27" s="556"/>
      <c r="AM27" s="556">
        <f>IF(OR(ISTEXT(V27)=TRUE(),V27=0),0,IF(V27&gt;4.9,1,0))</f>
        <v>0</v>
      </c>
      <c r="AN27" s="556">
        <f>IF(OR(V27=0,ISTEXT(V27)=TRUE(),V27&lt;5),0,V27)</f>
        <v>0</v>
      </c>
      <c r="AO27" s="556">
        <f>IF($AM$98=4,0,IF(MAX($AN$27:$AN$93)=AN27,1,0))</f>
        <v>0</v>
      </c>
      <c r="AP27" s="556">
        <f>IF($AN$98&gt;2,0,IF(AND(LARGE($AN$27:$AN$93,2)&lt;24.1,AO27=1),1,IF(AND((LARGE($AN$27:$AN$93,2))=AN27,$AM$98=2,AN27&gt;24),1,0)))</f>
        <v>0</v>
      </c>
      <c r="AQ27" s="556">
        <f>IF(AND($AM$98=1,AN27&gt;0),1,0)</f>
        <v>0</v>
      </c>
      <c r="AS27" s="556">
        <f>IF(AND($AN$98&gt;4,AN27&gt;4.9,SUM(AM27,AO27:AQ27)=0),1,0)</f>
        <v>0</v>
      </c>
      <c r="AT27" s="556">
        <f>IF(AND($AN$98&gt;4,AS27=0),0,AN27-SUM(AM27,AO27:AQ27)*10)</f>
        <v>0</v>
      </c>
      <c r="AU27" s="556">
        <f>IF(AT27=$AT$99,1,0)</f>
        <v>0</v>
      </c>
      <c r="AV27" s="556">
        <f>IF(AND($AN$98&gt;5,SUM(AM27,AO27:AQ27,AU27)=1),0,AN27-SUM(AM27,AO27:AQ27,AU27)*10)</f>
        <v>0</v>
      </c>
      <c r="AW27" s="556">
        <f>IF(AV27=$AV$98,1,0)</f>
        <v>0</v>
      </c>
      <c r="AX27" s="556">
        <f>IF(AND($AN$98&gt;6,SUM(AM27,AO27:AQ27,AU27,AW27)=1),0,AN27-SUM(AM27,AO27:AQ27,AU27,AW27)*10)</f>
        <v>0</v>
      </c>
      <c r="AY27" s="556">
        <f>IF(AX27=$AX$98,1,0)</f>
        <v>0</v>
      </c>
      <c r="AZ27" s="556">
        <f>IF(AND($AN$98&gt;7,SUM(AM27,AO27:AQ27,AU27,AW27,AY27)=1),0,AN27-SUM(AM27,AO27:AQ27,AU27,AW27,AY27)*10)</f>
        <v>0</v>
      </c>
      <c r="BA27" s="556">
        <f>IF(AZ27=$AZ$98,1,0)</f>
        <v>0</v>
      </c>
      <c r="BB27" s="556">
        <f>IF($AN$98&lt;8,0,IF(AND($AN$98&gt;8,SUM(AM27,AO27:AQ27,AU27,AW27,AY27,BA27)=0),AN27,0))</f>
        <v>0</v>
      </c>
      <c r="BC27" s="556">
        <f>IF(BB27=0,0,IF(BB27=$BB$98,1,0))</f>
        <v>0</v>
      </c>
      <c r="BD27" s="235" t="b">
        <f t="shared" ref="BD27:BO27" si="0">IF(I27=0,"",IF(I27="A",1,IF(I27="B",2,IF(I27="C",3,FALSE()))))</f>
        <v>0</v>
      </c>
      <c r="BE27" s="234" t="str">
        <f t="shared" si="0"/>
        <v/>
      </c>
      <c r="BF27" s="232" t="str">
        <f t="shared" si="0"/>
        <v/>
      </c>
      <c r="BG27" s="235" t="b">
        <f t="shared" si="0"/>
        <v>0</v>
      </c>
      <c r="BH27" s="234" t="str">
        <f t="shared" si="0"/>
        <v/>
      </c>
      <c r="BI27" s="232" t="str">
        <f t="shared" si="0"/>
        <v/>
      </c>
      <c r="BJ27" s="235" t="b">
        <f t="shared" si="0"/>
        <v>0</v>
      </c>
      <c r="BK27" s="234" t="str">
        <f t="shared" si="0"/>
        <v/>
      </c>
      <c r="BL27" s="232" t="str">
        <f t="shared" si="0"/>
        <v/>
      </c>
      <c r="BM27" s="235" t="b">
        <f t="shared" si="0"/>
        <v>0</v>
      </c>
      <c r="BN27" s="234" t="str">
        <f t="shared" si="0"/>
        <v/>
      </c>
      <c r="BO27" s="232" t="str">
        <f t="shared" si="0"/>
        <v/>
      </c>
      <c r="BP27" s="233">
        <f>COUNTIF(BD27:BO27,1)</f>
        <v>0</v>
      </c>
      <c r="BQ27" s="232">
        <f>COUNTIF(BD27:BO27,2)</f>
        <v>0</v>
      </c>
      <c r="BR27" s="232">
        <f>COUNTIF(BD27:BO27,3)</f>
        <v>0</v>
      </c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</row>
    <row r="28" spans="1:94" ht="14.85" customHeight="1">
      <c r="A28" s="245"/>
      <c r="B28" s="244"/>
      <c r="C28" s="244"/>
      <c r="D28" s="243"/>
      <c r="E28" s="254"/>
      <c r="F28" s="241"/>
      <c r="G28" s="285" t="s">
        <v>1</v>
      </c>
      <c r="H28" s="239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201"/>
      <c r="V28" s="222"/>
      <c r="W28" s="246"/>
      <c r="X28" s="546"/>
      <c r="Y28" s="546"/>
      <c r="Z28" s="546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M28" s="557"/>
      <c r="AN28" s="557"/>
      <c r="AO28" s="557"/>
      <c r="AP28" s="557"/>
      <c r="AQ28" s="557"/>
      <c r="AS28" s="557"/>
      <c r="AT28" s="557"/>
      <c r="AU28" s="557"/>
      <c r="AV28" s="557"/>
      <c r="AW28" s="557"/>
      <c r="AX28" s="557"/>
      <c r="AY28" s="557"/>
      <c r="AZ28" s="557"/>
      <c r="BA28" s="557"/>
      <c r="BB28" s="557"/>
      <c r="BC28" s="557"/>
      <c r="BD28" s="235"/>
      <c r="BE28" s="234"/>
      <c r="BF28" s="232"/>
      <c r="BG28" s="235"/>
      <c r="BH28" s="234"/>
      <c r="BI28" s="232"/>
      <c r="BJ28" s="235"/>
      <c r="BK28" s="234"/>
      <c r="BL28" s="232"/>
      <c r="BM28" s="235"/>
      <c r="BN28" s="234"/>
      <c r="BO28" s="232"/>
      <c r="BP28" s="233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</row>
    <row r="29" spans="1:94" ht="14.85" customHeight="1">
      <c r="A29" s="245"/>
      <c r="B29" s="244"/>
      <c r="C29" s="244"/>
      <c r="D29" s="243"/>
      <c r="E29" s="254"/>
      <c r="F29" s="241"/>
      <c r="G29" s="285"/>
      <c r="H29" s="239" t="s">
        <v>18089</v>
      </c>
      <c r="I29" s="671"/>
      <c r="J29" s="669"/>
      <c r="K29" s="369"/>
      <c r="L29" s="671"/>
      <c r="M29" s="669" t="s">
        <v>17960</v>
      </c>
      <c r="N29" s="369"/>
      <c r="O29" s="671"/>
      <c r="P29" s="669"/>
      <c r="Q29" s="369"/>
      <c r="R29" s="671"/>
      <c r="S29" s="669"/>
      <c r="T29" s="369"/>
      <c r="U29" s="201"/>
      <c r="V29" s="222"/>
      <c r="W29" s="246"/>
      <c r="X29" s="546"/>
      <c r="Y29" s="546"/>
      <c r="Z29" s="546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M29" s="557"/>
      <c r="AN29" s="557"/>
      <c r="AO29" s="557"/>
      <c r="AP29" s="557"/>
      <c r="AQ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7"/>
      <c r="BD29" s="297"/>
      <c r="BE29" s="234"/>
      <c r="BF29" s="232"/>
      <c r="BG29" s="297"/>
      <c r="BH29" s="234"/>
      <c r="BI29" s="232"/>
      <c r="BJ29" s="297"/>
      <c r="BK29" s="234"/>
      <c r="BL29" s="232"/>
      <c r="BM29" s="297"/>
      <c r="BN29" s="234"/>
      <c r="BO29" s="232"/>
      <c r="BP29" s="233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</row>
    <row r="30" spans="1:94" ht="14.85" customHeight="1" thickBot="1">
      <c r="A30" s="231"/>
      <c r="B30" s="230"/>
      <c r="C30" s="230"/>
      <c r="D30" s="229"/>
      <c r="E30" s="296"/>
      <c r="F30" s="227"/>
      <c r="G30" s="284"/>
      <c r="H30" s="225"/>
      <c r="I30" s="672"/>
      <c r="J30" s="670"/>
      <c r="K30" s="369"/>
      <c r="L30" s="672"/>
      <c r="M30" s="670"/>
      <c r="N30" s="369"/>
      <c r="O30" s="672"/>
      <c r="P30" s="670"/>
      <c r="Q30" s="369"/>
      <c r="R30" s="672"/>
      <c r="S30" s="670"/>
      <c r="T30" s="369"/>
      <c r="U30" s="263"/>
      <c r="V30" s="262"/>
      <c r="W30" s="261"/>
      <c r="X30" s="566"/>
      <c r="Y30" s="566"/>
      <c r="Z30" s="566"/>
      <c r="AB30" s="558"/>
      <c r="AC30" s="558"/>
      <c r="AD30" s="558"/>
      <c r="AE30" s="558"/>
      <c r="AF30" s="558"/>
      <c r="AG30" s="558"/>
      <c r="AH30" s="558"/>
      <c r="AI30" s="558"/>
      <c r="AJ30" s="558"/>
      <c r="AK30" s="558"/>
      <c r="AM30" s="558"/>
      <c r="AN30" s="558"/>
      <c r="AO30" s="558"/>
      <c r="AP30" s="558"/>
      <c r="AQ30" s="558"/>
      <c r="AS30" s="558"/>
      <c r="AT30" s="558"/>
      <c r="AU30" s="558"/>
      <c r="AV30" s="558"/>
      <c r="AW30" s="558"/>
      <c r="AX30" s="558"/>
      <c r="AY30" s="558"/>
      <c r="AZ30" s="558"/>
      <c r="BA30" s="558"/>
      <c r="BB30" s="558"/>
      <c r="BC30" s="558"/>
      <c r="BD30" s="221"/>
      <c r="BE30" s="220"/>
      <c r="BF30" s="218"/>
      <c r="BG30" s="221"/>
      <c r="BH30" s="220"/>
      <c r="BI30" s="218"/>
      <c r="BJ30" s="221"/>
      <c r="BK30" s="220"/>
      <c r="BL30" s="218"/>
      <c r="BM30" s="221"/>
      <c r="BN30" s="220"/>
      <c r="BO30" s="218"/>
      <c r="BP30" s="219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</row>
    <row r="31" spans="1:94" ht="14.85" customHeight="1">
      <c r="A31" s="283"/>
      <c r="B31" s="282"/>
      <c r="C31" s="282"/>
      <c r="D31" s="281"/>
      <c r="E31" s="280"/>
      <c r="F31" s="275"/>
      <c r="G31" s="274"/>
      <c r="H31" s="273" t="s">
        <v>18093</v>
      </c>
      <c r="I31" s="661"/>
      <c r="J31" s="654"/>
      <c r="K31" s="367"/>
      <c r="L31" s="661"/>
      <c r="M31" s="654"/>
      <c r="N31" s="367"/>
      <c r="O31" s="661"/>
      <c r="P31" s="654"/>
      <c r="Q31" s="367"/>
      <c r="R31" s="661"/>
      <c r="S31" s="654"/>
      <c r="T31" s="367"/>
      <c r="U31" s="272" t="str">
        <f>IF($L$4=0,"",IF(COUNTA(I31:T32)=W33,"",IF(AND(COUNTA(I31:T32)=0,V33=0),"","Nb.prel")))</f>
        <v/>
      </c>
      <c r="V31" s="271"/>
      <c r="W31" s="270"/>
      <c r="X31" s="565"/>
      <c r="Y31" s="565"/>
      <c r="Z31" s="565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M31" s="551"/>
      <c r="AN31" s="551"/>
      <c r="AO31" s="551"/>
      <c r="AP31" s="551"/>
      <c r="AQ31" s="551"/>
      <c r="AS31" s="551"/>
      <c r="AT31" s="551"/>
      <c r="AU31" s="551"/>
      <c r="AV31" s="551"/>
      <c r="AW31" s="551"/>
      <c r="AX31" s="551"/>
      <c r="AY31" s="551"/>
      <c r="AZ31" s="551"/>
      <c r="BA31" s="551"/>
      <c r="BB31" s="551"/>
      <c r="BC31" s="551"/>
      <c r="BD31" s="259">
        <f>COUNTIF(I31:K31,"&gt;0")</f>
        <v>0</v>
      </c>
      <c r="BE31" s="258"/>
      <c r="BF31" s="256"/>
      <c r="BG31" s="259">
        <f>COUNTIF(L31:N31,"&gt;0")</f>
        <v>0</v>
      </c>
      <c r="BH31" s="258"/>
      <c r="BI31" s="256"/>
      <c r="BJ31" s="259">
        <f>COUNTIF(O31:Q31,"&gt;0")</f>
        <v>0</v>
      </c>
      <c r="BK31" s="258"/>
      <c r="BL31" s="256"/>
      <c r="BM31" s="259">
        <f>COUNTIF(R31:T31,"&gt;0")</f>
        <v>0</v>
      </c>
      <c r="BN31" s="258"/>
      <c r="BO31" s="256"/>
      <c r="BP31" s="257"/>
      <c r="BQ31" s="256"/>
      <c r="BR31" s="256"/>
      <c r="BS31" s="256">
        <f>COUNTIF(I31:T31,1)</f>
        <v>0</v>
      </c>
      <c r="BT31" s="256">
        <f>COUNTIF(I31:T31,2)</f>
        <v>0</v>
      </c>
      <c r="BU31" s="256">
        <f>COUNTIF(I31:T31,3)</f>
        <v>0</v>
      </c>
      <c r="BV31" s="256">
        <f>COUNTIF(I31:T31,4)</f>
        <v>0</v>
      </c>
      <c r="BW31" s="256">
        <f>COUNTIF(I31:T31,5)</f>
        <v>0</v>
      </c>
      <c r="BX31" s="256">
        <f>COUNTIF(I31:T31,6)</f>
        <v>0</v>
      </c>
      <c r="BY31" s="256">
        <f>COUNTIF(I31:T31,7)</f>
        <v>0</v>
      </c>
      <c r="BZ31" s="256">
        <f>COUNTIF(I31:T31,8)</f>
        <v>0</v>
      </c>
      <c r="CA31" s="256">
        <f>COUNTIF(I31:T31,9)</f>
        <v>0</v>
      </c>
      <c r="CB31" s="256">
        <f>COUNTIF(I31:T31,10)</f>
        <v>0</v>
      </c>
      <c r="CC31" s="256">
        <f>COUNTIF(I31:T31,11)</f>
        <v>0</v>
      </c>
      <c r="CD31" s="256">
        <f>COUNTIF(I31:T31,12)</f>
        <v>0</v>
      </c>
      <c r="CE31" s="256">
        <f>IF(BS31=0,0,HLOOKUP(1,$I$32:$T$37,3,FALSE()))</f>
        <v>0</v>
      </c>
      <c r="CF31" s="256">
        <f>IF(BT31=0,0,HLOOKUP(2,$I$32:$T$37,3,FALSE()))</f>
        <v>0</v>
      </c>
      <c r="CG31" s="256">
        <f>IF(BU31=0,0,HLOOKUP(3,$I$32:$T$37,3,FALSE()))</f>
        <v>0</v>
      </c>
      <c r="CH31" s="256">
        <f>IF(BV31=0,0,HLOOKUP(4,$I$32:$T$37,3,FALSE()))</f>
        <v>0</v>
      </c>
      <c r="CI31" s="256">
        <f>IF(BW31=0,0,HLOOKUP(5,$I$32:$T$37,3,FALSE()))</f>
        <v>0</v>
      </c>
      <c r="CJ31" s="256">
        <f>IF(BX31=0,0,HLOOKUP(6,$I$32:$T$37,3,FALSE()))</f>
        <v>0</v>
      </c>
      <c r="CK31" s="256">
        <f>IF(BY31=0,0,HLOOKUP(7,$I$32:$T$37,3,FALSE()))</f>
        <v>0</v>
      </c>
      <c r="CL31" s="256">
        <f>IF(BZ31=0,0,HLOOKUP(8,$I$32:$T$37,3,FALSE()))</f>
        <v>0</v>
      </c>
      <c r="CM31" s="256">
        <f>IF(CA31=0,0,HLOOKUP(9,$I$32:$T$37,3,FALSE()))</f>
        <v>0</v>
      </c>
      <c r="CN31" s="256">
        <f>IF(CB31=0,0,HLOOKUP(10,$I$32:$T$37,3,FALSE()))</f>
        <v>0</v>
      </c>
      <c r="CO31" s="256">
        <f>IF(CC31=0,0,HLOOKUP(11,$I$32:$T$37,3,FALSE()))</f>
        <v>0</v>
      </c>
      <c r="CP31" s="256">
        <f>IF(CD31=0,0,HLOOKUP(12,$I$32:$T$37,3,FALSE()))</f>
        <v>0</v>
      </c>
    </row>
    <row r="32" spans="1:94" ht="14.85" customHeight="1">
      <c r="A32" s="255"/>
      <c r="B32" s="248"/>
      <c r="C32" s="248"/>
      <c r="D32" s="659"/>
      <c r="E32" s="659"/>
      <c r="F32" s="241"/>
      <c r="G32" s="240"/>
      <c r="H32" s="254"/>
      <c r="I32" s="662"/>
      <c r="J32" s="655"/>
      <c r="K32" s="368"/>
      <c r="L32" s="662"/>
      <c r="M32" s="655"/>
      <c r="N32" s="368"/>
      <c r="O32" s="662"/>
      <c r="P32" s="655"/>
      <c r="Q32" s="368"/>
      <c r="R32" s="662"/>
      <c r="S32" s="655"/>
      <c r="T32" s="368"/>
      <c r="U32" s="201"/>
      <c r="V32" s="269"/>
      <c r="W32" s="246"/>
      <c r="X32" s="546"/>
      <c r="Y32" s="546"/>
      <c r="Z32" s="546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M32" s="557"/>
      <c r="AN32" s="557"/>
      <c r="AO32" s="557"/>
      <c r="AP32" s="557"/>
      <c r="AQ32" s="557"/>
      <c r="AS32" s="557"/>
      <c r="AT32" s="557"/>
      <c r="AU32" s="557"/>
      <c r="AV32" s="557"/>
      <c r="AW32" s="557"/>
      <c r="AX32" s="557"/>
      <c r="AY32" s="557"/>
      <c r="AZ32" s="557"/>
      <c r="BA32" s="557"/>
      <c r="BB32" s="557"/>
      <c r="BC32" s="557"/>
      <c r="BD32" s="252"/>
      <c r="BE32" s="251"/>
      <c r="BF32" s="249"/>
      <c r="BG32" s="252"/>
      <c r="BH32" s="251"/>
      <c r="BI32" s="249"/>
      <c r="BJ32" s="252"/>
      <c r="BK32" s="251"/>
      <c r="BL32" s="249"/>
      <c r="BM32" s="252"/>
      <c r="BN32" s="251"/>
      <c r="BO32" s="249"/>
      <c r="BP32" s="250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</row>
    <row r="33" spans="1:94" ht="14.85" customHeight="1">
      <c r="A33" s="245" t="s">
        <v>6158</v>
      </c>
      <c r="B33" s="248"/>
      <c r="C33" s="248"/>
      <c r="D33" s="659" t="s">
        <v>18091</v>
      </c>
      <c r="E33" s="659"/>
      <c r="F33" s="241"/>
      <c r="G33" s="240"/>
      <c r="H33" s="239" t="s">
        <v>18087</v>
      </c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201" t="str">
        <f>IF($L$4=0,"",IF(COUNTBLANK(I31:T31)=12,"",IF(COUNTBLANK(I33:T33)=12,"% rec.",IF(OR(COUNTIF(I33:T33,"x")&gt;1,COUNTIF(I33:T33,"xx")&gt;1,COUNTIF(I33:T33,"xxx")&gt;1,COUNTIF(I33:T33,"xxxx")&gt;1),"% rec.",""))))</f>
        <v/>
      </c>
      <c r="V33" s="268"/>
      <c r="W33" s="206" t="str">
        <f>IF(V33=0,"",SUM(X33:Z33))</f>
        <v/>
      </c>
      <c r="X33" s="546" t="str">
        <f>IF(V33=0,"",IF(SUM(AB33,AD33,AE33,AF33,AG33,AI33,AJ33)=0,"",(IF(MAX($AC$27:$AC$93)&lt;1,SUM(AB33,AD33,AE33,AF33,AG33,AI33,AJ33),IF(OR(V33=0,AB33=0),"",IF(AB33=1,SUM(AB33,AD33,AE33,AF33,AG33,AI33),0))))))</f>
        <v/>
      </c>
      <c r="Y33" s="546" t="str">
        <f>IF(OR(V33=0,SUM(AM33,AO33,AP33,AQ33)=0),"",SUM(AM33,AO33,AP33,AQ33))</f>
        <v/>
      </c>
      <c r="Z33" s="546" t="str">
        <f>IF(OR(V33=0,SUM(AS33,AU33,AW33,AY33,BA33,BC33)=0),"",IF(SUM(AU33,AW33,AY33,BA33)=0,"",SUM(AU33,AW33,AY33,BA33)))</f>
        <v/>
      </c>
      <c r="AB33" s="556">
        <f>IF(V33=0,0,IF(V33&lt;5,1,0))</f>
        <v>0</v>
      </c>
      <c r="AC33" s="556">
        <f>IF(OR(V33=0,V33&gt;4.9),0,V33)</f>
        <v>0</v>
      </c>
      <c r="AD33" s="556">
        <f>IF(AC33&lt;1,0,IF($AB$98=4,0,IF(SUM($AB$98,$AD$27)=4,0,IF(MAX($AC$27:$AC$93)=AC33,1,0))))</f>
        <v>0</v>
      </c>
      <c r="AE33" s="556">
        <f>IF($AB$98=4,0,IF(SUM($AB$98,$AD$98,$AE$27:AE27)=4,0,IF(AND($AC$99=1,AC33&gt;0.99),1,IF(AND($AC$98=1,$AC$99=1,AD33=0,AC33&gt;0),1,IF(AND($AC$99=2,AD33=0,AC33&gt;0.99),1,0)))))</f>
        <v>0</v>
      </c>
      <c r="AF33" s="556">
        <f>IF(AND($AB$98=1,AC33&gt;0.99),1,0)</f>
        <v>0</v>
      </c>
      <c r="AG33" s="556">
        <f>IF($AN$98&lt;9,0,IF($AC$99=0,BC33))</f>
        <v>0</v>
      </c>
      <c r="AH33" s="556">
        <f>IF(AND(MAX($AC$27:$AC$93)&lt;1,AN33&gt;4.9),1,0)</f>
        <v>0</v>
      </c>
      <c r="AI33" s="556">
        <f>IF(AH33=0,0,IF(SUM($AC$98,$AG$98,AH27)&gt;3,0,1))</f>
        <v>0</v>
      </c>
      <c r="AJ33" s="556">
        <f>IF(AND(SUM($AI$98,$AC$98,$AG$98)=3,AI33=1,SUM($AI$27:AI27)=0),1,0)</f>
        <v>0</v>
      </c>
      <c r="AK33" s="556"/>
      <c r="AM33" s="556">
        <f>IF(OR(ISTEXT(V33)=TRUE(),V33=0),0,IF(V33&gt;4.9,1,0))</f>
        <v>0</v>
      </c>
      <c r="AN33" s="556">
        <f>IF(OR(V33=0,ISTEXT(V33)=TRUE(),V33&lt;5),0,V33)</f>
        <v>0</v>
      </c>
      <c r="AO33" s="556">
        <f>IF($AM$98=4,0,IF(SUM($AM$98,$AO$27)=4,0,IF(MAX($AN$27:$AN$93)=AN33,1,0)))</f>
        <v>0</v>
      </c>
      <c r="AP33" s="556">
        <f>IF($AN$98&gt;2,0,IF(AND(LARGE($AN$27:$AN$93,2)&lt;24.1,AO33=1),1,IF(AND((LARGE($AN$27:$AN$93,2))=AN33,$AM$98=2,AN33&gt;24),1,0)))</f>
        <v>0</v>
      </c>
      <c r="AQ33" s="556">
        <f>IF(AND($AM$98=1,AN33&gt;0),1,0)</f>
        <v>0</v>
      </c>
      <c r="AS33" s="556">
        <f>IF(AND($AN$98&gt;4,AN33&gt;4.9,SUM(AM33,AO33:AQ33)=0),1,0)</f>
        <v>0</v>
      </c>
      <c r="AT33" s="556">
        <f>IF(AND($AN$98&gt;4,AS33=0),0,AN33-SUM(AM33,AO33:AQ33)*10)</f>
        <v>0</v>
      </c>
      <c r="AU33" s="556">
        <f>IF(AU27=1,0,IF(AT33=$AT$99,1,0))</f>
        <v>0</v>
      </c>
      <c r="AV33" s="556">
        <f>IF(AND($AN$98&gt;5,SUM(AM33,AO33:AQ33,AU33)=1),0,AN33-SUM(AM33,AO33:AQ33,AU33)*10)</f>
        <v>0</v>
      </c>
      <c r="AW33" s="556">
        <f>IF(AW27=1,0,IF(AV33=$AV$98,1,0))</f>
        <v>0</v>
      </c>
      <c r="AX33" s="556">
        <f>IF(AND($AN$98&gt;6,SUM(AM33,AO33:AQ33,AU33,AW33)=1),0,AN33-SUM(AM33,AO33:AQ33,AU33,AW33)*10)</f>
        <v>0</v>
      </c>
      <c r="AY33" s="556">
        <f>IF(AY27=1,0,IF(AX33=$AX$98,1,0))</f>
        <v>0</v>
      </c>
      <c r="AZ33" s="556">
        <f>IF(AND($AN$98&gt;7,SUM(AM33,AO33:AQ33,AU33,AW33,AY33)=1),0,AN33-SUM(AM33,AO33:AQ33,AU33,AW33,AY33)*10)</f>
        <v>0</v>
      </c>
      <c r="BA33" s="556">
        <f>IF(SUM($BA$27:BA27)=1,0,IF(AZ33=$AZ$98,1,0))</f>
        <v>0</v>
      </c>
      <c r="BB33" s="556">
        <f>IF($AN$98&lt;8,0,IF(AND($AN$98&gt;8,SUM(AM33,AO33:AQ33,AU33,AW33,AY33,BA33)=0),AN33,0))</f>
        <v>0</v>
      </c>
      <c r="BC33" s="556">
        <f>IF(SUM($BC$27:BC27)=1,0,IF(BB33=0,0,IF(BB33=$BB$98,1,0)))</f>
        <v>0</v>
      </c>
      <c r="BD33" s="235" t="str">
        <f t="shared" ref="BD33:BO33" si="1">IF(I33=0,"",IF(I33="A",1,IF(I33="B",2,IF(I33="C",3,FALSE()))))</f>
        <v/>
      </c>
      <c r="BE33" s="234" t="str">
        <f t="shared" si="1"/>
        <v/>
      </c>
      <c r="BF33" s="232" t="str">
        <f t="shared" si="1"/>
        <v/>
      </c>
      <c r="BG33" s="235" t="str">
        <f t="shared" si="1"/>
        <v/>
      </c>
      <c r="BH33" s="234" t="str">
        <f t="shared" si="1"/>
        <v/>
      </c>
      <c r="BI33" s="232" t="str">
        <f t="shared" si="1"/>
        <v/>
      </c>
      <c r="BJ33" s="235" t="str">
        <f t="shared" si="1"/>
        <v/>
      </c>
      <c r="BK33" s="234" t="str">
        <f t="shared" si="1"/>
        <v/>
      </c>
      <c r="BL33" s="232" t="str">
        <f t="shared" si="1"/>
        <v/>
      </c>
      <c r="BM33" s="235" t="str">
        <f t="shared" si="1"/>
        <v/>
      </c>
      <c r="BN33" s="234" t="str">
        <f t="shared" si="1"/>
        <v/>
      </c>
      <c r="BO33" s="232" t="str">
        <f t="shared" si="1"/>
        <v/>
      </c>
      <c r="BP33" s="233">
        <f>COUNTIF(BD33:BO33,1)</f>
        <v>0</v>
      </c>
      <c r="BQ33" s="232">
        <f>COUNTIF(BD33:BO33,2)</f>
        <v>0</v>
      </c>
      <c r="BR33" s="232">
        <f>COUNTIF(BD33:BO33,3)</f>
        <v>0</v>
      </c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</row>
    <row r="34" spans="1:94" ht="14.85" customHeight="1">
      <c r="A34" s="245" t="s">
        <v>17996</v>
      </c>
      <c r="B34" s="244"/>
      <c r="C34" s="244"/>
      <c r="D34" s="243"/>
      <c r="E34" s="242"/>
      <c r="F34" s="241"/>
      <c r="G34" s="240" t="s">
        <v>4</v>
      </c>
      <c r="H34" s="239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201"/>
      <c r="V34" s="222"/>
      <c r="W34" s="246"/>
      <c r="X34" s="546"/>
      <c r="Y34" s="546"/>
      <c r="Z34" s="546"/>
      <c r="AB34" s="557"/>
      <c r="AC34" s="557"/>
      <c r="AD34" s="557"/>
      <c r="AE34" s="557"/>
      <c r="AF34" s="557"/>
      <c r="AG34" s="557"/>
      <c r="AH34" s="557"/>
      <c r="AI34" s="557"/>
      <c r="AJ34" s="557"/>
      <c r="AK34" s="557"/>
      <c r="AM34" s="557"/>
      <c r="AN34" s="557"/>
      <c r="AO34" s="557"/>
      <c r="AP34" s="557"/>
      <c r="AQ34" s="557"/>
      <c r="AS34" s="557"/>
      <c r="AT34" s="557"/>
      <c r="AU34" s="557"/>
      <c r="AV34" s="557"/>
      <c r="AW34" s="557"/>
      <c r="AX34" s="557"/>
      <c r="AY34" s="557"/>
      <c r="AZ34" s="557"/>
      <c r="BA34" s="557"/>
      <c r="BB34" s="557"/>
      <c r="BC34" s="557"/>
      <c r="BD34" s="235"/>
      <c r="BE34" s="234"/>
      <c r="BF34" s="232"/>
      <c r="BG34" s="235"/>
      <c r="BH34" s="234"/>
      <c r="BI34" s="232"/>
      <c r="BJ34" s="235"/>
      <c r="BK34" s="234"/>
      <c r="BL34" s="232"/>
      <c r="BM34" s="235"/>
      <c r="BN34" s="234"/>
      <c r="BO34" s="232"/>
      <c r="BP34" s="233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</row>
    <row r="35" spans="1:94" ht="14.85" customHeight="1">
      <c r="A35" s="245"/>
      <c r="B35" s="244"/>
      <c r="C35" s="244"/>
      <c r="D35" s="243"/>
      <c r="E35" s="242"/>
      <c r="F35" s="241"/>
      <c r="G35" s="240"/>
      <c r="H35" s="239" t="s">
        <v>18089</v>
      </c>
      <c r="I35" s="671"/>
      <c r="J35" s="669"/>
      <c r="K35" s="369"/>
      <c r="L35" s="671"/>
      <c r="M35" s="669"/>
      <c r="N35" s="369"/>
      <c r="O35" s="671"/>
      <c r="P35" s="669"/>
      <c r="Q35" s="369"/>
      <c r="R35" s="671"/>
      <c r="S35" s="669"/>
      <c r="T35" s="369"/>
      <c r="U35" s="201"/>
      <c r="V35" s="222"/>
      <c r="W35" s="246"/>
      <c r="X35" s="546"/>
      <c r="Y35" s="546"/>
      <c r="Z35" s="546"/>
      <c r="AB35" s="557"/>
      <c r="AC35" s="557"/>
      <c r="AD35" s="557"/>
      <c r="AE35" s="557"/>
      <c r="AF35" s="557"/>
      <c r="AG35" s="557"/>
      <c r="AH35" s="557"/>
      <c r="AI35" s="557"/>
      <c r="AJ35" s="557"/>
      <c r="AK35" s="557"/>
      <c r="AM35" s="557"/>
      <c r="AN35" s="557"/>
      <c r="AO35" s="557"/>
      <c r="AP35" s="557"/>
      <c r="AQ35" s="557"/>
      <c r="AS35" s="557"/>
      <c r="AT35" s="557"/>
      <c r="AU35" s="557"/>
      <c r="AV35" s="557"/>
      <c r="AW35" s="557"/>
      <c r="AX35" s="557"/>
      <c r="AY35" s="557"/>
      <c r="AZ35" s="557"/>
      <c r="BA35" s="557"/>
      <c r="BB35" s="557"/>
      <c r="BC35" s="557"/>
      <c r="BD35" s="290"/>
      <c r="BE35" s="289"/>
      <c r="BF35" s="287"/>
      <c r="BG35" s="290"/>
      <c r="BH35" s="289"/>
      <c r="BI35" s="287"/>
      <c r="BJ35" s="290"/>
      <c r="BK35" s="289"/>
      <c r="BL35" s="287"/>
      <c r="BM35" s="290"/>
      <c r="BN35" s="289"/>
      <c r="BO35" s="287"/>
      <c r="BP35" s="288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ht="14.85" customHeight="1" thickBot="1">
      <c r="A36" s="231"/>
      <c r="B36" s="230"/>
      <c r="C36" s="230"/>
      <c r="D36" s="229"/>
      <c r="E36" s="228"/>
      <c r="F36" s="227"/>
      <c r="G36" s="226"/>
      <c r="H36" s="225"/>
      <c r="I36" s="672"/>
      <c r="J36" s="670"/>
      <c r="K36" s="369"/>
      <c r="L36" s="672"/>
      <c r="M36" s="670"/>
      <c r="N36" s="369"/>
      <c r="O36" s="672"/>
      <c r="P36" s="670"/>
      <c r="Q36" s="369"/>
      <c r="R36" s="672"/>
      <c r="S36" s="670"/>
      <c r="T36" s="369"/>
      <c r="U36" s="263"/>
      <c r="V36" s="262"/>
      <c r="W36" s="261"/>
      <c r="X36" s="566"/>
      <c r="Y36" s="566"/>
      <c r="Z36" s="566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M36" s="558"/>
      <c r="AN36" s="558"/>
      <c r="AO36" s="558"/>
      <c r="AP36" s="558"/>
      <c r="AQ36" s="558"/>
      <c r="AS36" s="558"/>
      <c r="AT36" s="558"/>
      <c r="AU36" s="558"/>
      <c r="AV36" s="558"/>
      <c r="AW36" s="558"/>
      <c r="AX36" s="558"/>
      <c r="AY36" s="558"/>
      <c r="AZ36" s="558"/>
      <c r="BA36" s="558"/>
      <c r="BB36" s="558"/>
      <c r="BC36" s="558"/>
      <c r="BD36" s="221"/>
      <c r="BE36" s="220"/>
      <c r="BF36" s="218"/>
      <c r="BG36" s="221"/>
      <c r="BH36" s="220"/>
      <c r="BI36" s="218"/>
      <c r="BJ36" s="221"/>
      <c r="BK36" s="220"/>
      <c r="BL36" s="218"/>
      <c r="BM36" s="221"/>
      <c r="BN36" s="220"/>
      <c r="BO36" s="218"/>
      <c r="BP36" s="219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</row>
    <row r="37" spans="1:94" ht="14.85" customHeight="1">
      <c r="A37" s="283"/>
      <c r="B37" s="282"/>
      <c r="C37" s="282"/>
      <c r="D37" s="281"/>
      <c r="E37" s="280"/>
      <c r="F37" s="275"/>
      <c r="G37" s="274"/>
      <c r="H37" s="273" t="s">
        <v>18093</v>
      </c>
      <c r="I37" s="661"/>
      <c r="J37" s="654"/>
      <c r="K37" s="367"/>
      <c r="L37" s="661"/>
      <c r="M37" s="654"/>
      <c r="N37" s="367"/>
      <c r="O37" s="661"/>
      <c r="P37" s="654"/>
      <c r="Q37" s="367"/>
      <c r="R37" s="661"/>
      <c r="S37" s="654">
        <v>2</v>
      </c>
      <c r="T37" s="367"/>
      <c r="U37" s="272" t="str">
        <f>IF($L$4=0,"",IF(COUNTA(I37:T38)=W39,"",IF(AND(COUNTA(I37:T38)=0,V39=0),"","Nb.prel")))</f>
        <v/>
      </c>
      <c r="V37" s="271"/>
      <c r="W37" s="270"/>
      <c r="X37" s="565"/>
      <c r="Y37" s="565"/>
      <c r="Z37" s="565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M37" s="551"/>
      <c r="AN37" s="551"/>
      <c r="AO37" s="551"/>
      <c r="AP37" s="551"/>
      <c r="AQ37" s="551"/>
      <c r="AS37" s="551"/>
      <c r="AT37" s="551"/>
      <c r="AU37" s="551"/>
      <c r="AV37" s="551"/>
      <c r="AW37" s="551"/>
      <c r="AX37" s="551"/>
      <c r="AY37" s="551"/>
      <c r="AZ37" s="551"/>
      <c r="BA37" s="551"/>
      <c r="BB37" s="551"/>
      <c r="BC37" s="551"/>
      <c r="BD37" s="259">
        <f>COUNTIF(I37:K37,"&gt;0")</f>
        <v>0</v>
      </c>
      <c r="BE37" s="258"/>
      <c r="BF37" s="256"/>
      <c r="BG37" s="259">
        <f>COUNTIF(L37:N37,"&gt;0")</f>
        <v>0</v>
      </c>
      <c r="BH37" s="258"/>
      <c r="BI37" s="256"/>
      <c r="BJ37" s="259">
        <f>COUNTIF(O37:Q37,"&gt;0")</f>
        <v>0</v>
      </c>
      <c r="BK37" s="258"/>
      <c r="BL37" s="256"/>
      <c r="BM37" s="259">
        <f>COUNTIF(R37:T37,"&gt;0")</f>
        <v>1</v>
      </c>
      <c r="BN37" s="258"/>
      <c r="BO37" s="256"/>
      <c r="BP37" s="257"/>
      <c r="BQ37" s="256"/>
      <c r="BR37" s="256"/>
      <c r="BS37" s="256">
        <f>COUNTIF(I37:T37,1)</f>
        <v>0</v>
      </c>
      <c r="BT37" s="256">
        <f>COUNTIF(I37:T37,2)</f>
        <v>1</v>
      </c>
      <c r="BU37" s="256">
        <f>COUNTIF(I37:T37,3)</f>
        <v>0</v>
      </c>
      <c r="BV37" s="256">
        <f>COUNTIF(I37:T37,4)</f>
        <v>0</v>
      </c>
      <c r="BW37" s="256">
        <f>COUNTIF(I37:T37,5)</f>
        <v>0</v>
      </c>
      <c r="BX37" s="256">
        <f>COUNTIF(I37:T37,6)</f>
        <v>0</v>
      </c>
      <c r="BY37" s="256">
        <f>COUNTIF(I37:T37,7)</f>
        <v>0</v>
      </c>
      <c r="BZ37" s="256">
        <f>COUNTIF(I37:T37,8)</f>
        <v>0</v>
      </c>
      <c r="CA37" s="256">
        <f>COUNTIF(I37:T37,9)</f>
        <v>0</v>
      </c>
      <c r="CB37" s="256">
        <f>COUNTIF(I37:T37,10)</f>
        <v>0</v>
      </c>
      <c r="CC37" s="256">
        <f>COUNTIF(I37:T37,11)</f>
        <v>0</v>
      </c>
      <c r="CD37" s="256">
        <f>COUNTIF(I37:T37,12)</f>
        <v>0</v>
      </c>
      <c r="CE37" s="256">
        <f>IF(BS37=0,0,HLOOKUP(1,$I$38:$T$43,3,FALSE()))</f>
        <v>0</v>
      </c>
      <c r="CF37" s="256" t="e">
        <f>IF(BT37=0,0,HLOOKUP(2,$I$38:$T$43,3,FALSE()))</f>
        <v>#N/A</v>
      </c>
      <c r="CG37" s="256">
        <f>IF(BU37=0,0,HLOOKUP(3,$I$38:$T$43,3,FALSE()))</f>
        <v>0</v>
      </c>
      <c r="CH37" s="256">
        <f>IF(BV37=0,0,HLOOKUP(4,$I$38:$T$43,3,FALSE()))</f>
        <v>0</v>
      </c>
      <c r="CI37" s="256">
        <f>IF(BW37=0,0,HLOOKUP(5,$I$38:$T$43,3,FALSE()))</f>
        <v>0</v>
      </c>
      <c r="CJ37" s="256">
        <f>IF(BX37=0,0,HLOOKUP(6,$I$38:$T$43,3,FALSE()))</f>
        <v>0</v>
      </c>
      <c r="CK37" s="256">
        <f>IF(BY37=0,0,HLOOKUP(7,$I$38:$T$43,3,FALSE()))</f>
        <v>0</v>
      </c>
      <c r="CL37" s="256">
        <f>IF(BZ37=0,0,HLOOKUP(8,$I$38:$T$43,3,FALSE()))</f>
        <v>0</v>
      </c>
      <c r="CM37" s="256">
        <f>IF(CA37=0,0,HLOOKUP(9,$I$38:$T$43,3,FALSE()))</f>
        <v>0</v>
      </c>
      <c r="CN37" s="256">
        <f>IF(CB37=0,0,HLOOKUP(10,$I$38:$T$43,3,FALSE()))</f>
        <v>0</v>
      </c>
      <c r="CO37" s="256">
        <f>IF(CC37=0,0,HLOOKUP(11,$I$38:$T$43,3,FALSE()))</f>
        <v>0</v>
      </c>
      <c r="CP37" s="256">
        <f>IF(CD37=0,0,HLOOKUP(12,$I$38:$T$43,3,FALSE()))</f>
        <v>0</v>
      </c>
    </row>
    <row r="38" spans="1:94" ht="14.85" customHeight="1">
      <c r="A38" s="255"/>
      <c r="B38" s="248"/>
      <c r="C38" s="248"/>
      <c r="D38" s="659"/>
      <c r="E38" s="659"/>
      <c r="F38" s="241"/>
      <c r="G38" s="240"/>
      <c r="H38" s="254"/>
      <c r="I38" s="662"/>
      <c r="J38" s="655"/>
      <c r="K38" s="368"/>
      <c r="L38" s="662"/>
      <c r="M38" s="655"/>
      <c r="N38" s="368"/>
      <c r="O38" s="662"/>
      <c r="P38" s="655"/>
      <c r="Q38" s="368"/>
      <c r="R38" s="662"/>
      <c r="S38" s="655"/>
      <c r="T38" s="368"/>
      <c r="U38" s="201"/>
      <c r="V38" s="269"/>
      <c r="W38" s="246"/>
      <c r="X38" s="546"/>
      <c r="Y38" s="546"/>
      <c r="Z38" s="546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M38" s="557"/>
      <c r="AN38" s="557"/>
      <c r="AO38" s="557"/>
      <c r="AP38" s="557"/>
      <c r="AQ38" s="557"/>
      <c r="AS38" s="557"/>
      <c r="AT38" s="557"/>
      <c r="AU38" s="557"/>
      <c r="AV38" s="557"/>
      <c r="AW38" s="557"/>
      <c r="AX38" s="557"/>
      <c r="AY38" s="557"/>
      <c r="AZ38" s="557"/>
      <c r="BA38" s="557"/>
      <c r="BB38" s="557"/>
      <c r="BC38" s="557"/>
      <c r="BD38" s="252"/>
      <c r="BE38" s="251"/>
      <c r="BF38" s="249"/>
      <c r="BG38" s="252"/>
      <c r="BH38" s="251"/>
      <c r="BI38" s="249"/>
      <c r="BJ38" s="252"/>
      <c r="BK38" s="251"/>
      <c r="BL38" s="249"/>
      <c r="BM38" s="252"/>
      <c r="BN38" s="251"/>
      <c r="BO38" s="249"/>
      <c r="BP38" s="250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</row>
    <row r="39" spans="1:94" ht="14.85" customHeight="1">
      <c r="A39" s="255" t="s">
        <v>17997</v>
      </c>
      <c r="B39" s="248"/>
      <c r="C39" s="248"/>
      <c r="D39" s="659" t="s">
        <v>18091</v>
      </c>
      <c r="E39" s="659"/>
      <c r="F39" s="241"/>
      <c r="G39" s="240"/>
      <c r="H39" s="239" t="s">
        <v>18087</v>
      </c>
      <c r="I39" s="660"/>
      <c r="J39" s="660"/>
      <c r="K39" s="660"/>
      <c r="L39" s="660"/>
      <c r="M39" s="660"/>
      <c r="N39" s="660"/>
      <c r="O39" s="660"/>
      <c r="P39" s="660"/>
      <c r="Q39" s="660"/>
      <c r="R39" s="660" t="s">
        <v>17961</v>
      </c>
      <c r="S39" s="660"/>
      <c r="T39" s="660"/>
      <c r="U39" s="201" t="str">
        <f>IF($L$4=0,"",IF(COUNTBLANK(I37:T37)=12,"",IF(COUNTBLANK(I39:T39)=12,"% rec.",IF(OR(COUNTIF(I39:T39,"x")&gt;1,COUNTIF(I39:T39,"xx")&gt;1,COUNTIF(I39:T39,"xxx")&gt;1,COUNTIF(I39:T39,"xxxx")&gt;1),"% rec.",""))))</f>
        <v/>
      </c>
      <c r="V39" s="268">
        <v>1</v>
      </c>
      <c r="W39" s="206">
        <f>IF(V39=0,"",SUM(X39:Z39))</f>
        <v>1</v>
      </c>
      <c r="X39" s="546">
        <f>IF(V39=0,"",IF(SUM(AB39,AD39,AE39,AF39,AG39,AI39,AJ39)=0,"",(IF(MAX($AC$27:$AC$93)&lt;1,SUM(AB39,AD39,AE39,AF39,AG39,AI39,AJ39),IF(OR(V39=0,AB39=0),"",IF(AB39=1,SUM(AB39,AD39,AE39,AF39,AG39,AI39),0))))))</f>
        <v>1</v>
      </c>
      <c r="Y39" s="546" t="str">
        <f>IF(OR(V39=0,SUM(AM39,AO39,AP39,AQ39)=0,V39="P"),"",SUM(AM39,AO39,AP39,AQ39))</f>
        <v/>
      </c>
      <c r="Z39" s="546" t="str">
        <f>IF(OR(V39=0,SUM(AS39,AU39,AW39,AY39,BA39,BC39)=0),"",IF(SUM(AU39,AW39,AY39,BA39)=0,"",SUM(AU39,AW39,AY39,BA39)))</f>
        <v/>
      </c>
      <c r="AB39" s="556">
        <f>IF(V39=0,0,IF(V39&lt;5,1,0))</f>
        <v>1</v>
      </c>
      <c r="AC39" s="556">
        <f>IF(OR(V39=0,V39&gt;4.9),0,V39)</f>
        <v>1</v>
      </c>
      <c r="AD39" s="556">
        <f>IF(AC39&lt;1,0,IF($AB$98=4,0,IF(SUM($AB$98,$AD$27:AD33)=4,0,IF(MAX($AC$27:$AC$93)=AC39,1,0))))</f>
        <v>0</v>
      </c>
      <c r="AE39" s="556">
        <f>IF($AB$98=4,0,IF(SUM($AB$98,$AD$98,$AE$27:AE33)=4,0,IF(AND($AC$99=1,AC39&gt;0.99),1,IF(AND($AC$98=1,$AC$99=1,AD39=0,AC39&gt;0),1,IF(AND($AC$99=2,AD39=0,AC39&gt;0.99),1,0)))))</f>
        <v>0</v>
      </c>
      <c r="AF39" s="556">
        <f>IF(AND($AB$98=1,AC39&gt;0.99),1,0)</f>
        <v>0</v>
      </c>
      <c r="AG39" s="556">
        <f>IF($AN$98&lt;9,0,IF($AC$99=0,BC39))</f>
        <v>0</v>
      </c>
      <c r="AH39" s="556">
        <f>IF(AND(MAX($AC$27:$AC$93)&lt;1,AN39&gt;4.9),1,0)</f>
        <v>0</v>
      </c>
      <c r="AI39" s="556">
        <f>IF(AH39=0,0,IF(SUM($AC$98,$AG$98,$AH$27:AH33)&gt;3,0,1))</f>
        <v>0</v>
      </c>
      <c r="AJ39" s="556">
        <f>IF(AND(SUM($AI$98,$AC$98,$AG$98)=3,AI39=1,SUM($AI$27:AI33)=0),1,0)</f>
        <v>0</v>
      </c>
      <c r="AK39" s="556"/>
      <c r="AM39" s="556">
        <f>IF(OR(ISTEXT(V39)=TRUE(),V39=0),0,IF(V39&gt;4.9,1,0))</f>
        <v>0</v>
      </c>
      <c r="AN39" s="556">
        <f>IF(OR(V39=0,ISTEXT(V39)=TRUE(),V39&lt;5),0,V39)</f>
        <v>0</v>
      </c>
      <c r="AO39" s="556">
        <f>IF($AM$98=4,0,IF(SUM($AM$98,$AO$27:AO33)=4,0,IF(MAX($AN$27:$AN$93)=AN39,1,0)))</f>
        <v>0</v>
      </c>
      <c r="AP39" s="556">
        <f>IF($AN$98&gt;2,0,IF(AND(LARGE($AN$27:$AN$93,2)&lt;24.1,AO39=1),1,IF(AND((LARGE($AN$27:$AN$93,2))=AN39,$AM$98=2,AN39&gt;24),1,0)))</f>
        <v>0</v>
      </c>
      <c r="AQ39" s="556">
        <f>IF(AND($AM$98=1,AN39&gt;0),1,0)</f>
        <v>0</v>
      </c>
      <c r="AS39" s="556">
        <f>IF(AND($AN$98&gt;4,AN39&gt;4.9,SUM(AM39,AO39:AQ39)=0),1,0)</f>
        <v>0</v>
      </c>
      <c r="AT39" s="556">
        <f>IF(AND($AN$98&gt;4,AS39=0),0,AN39-SUM(AM39,AO39:AQ39)*10)</f>
        <v>0</v>
      </c>
      <c r="AU39" s="556">
        <f>IF(SUM($AU$27:AU33)=1,0,IF(AT39=$AT$99,1,0))</f>
        <v>0</v>
      </c>
      <c r="AV39" s="556">
        <f>IF(AND($AN$98&gt;5,SUM(AM39,AO39:AQ39,AU39)=1),0,AN39-SUM(AM39,AO39:AQ39,AU39)*10)</f>
        <v>0</v>
      </c>
      <c r="AW39" s="556">
        <f>IF(SUM($AW$27:AW33)=1,0,IF(AV39=$AV$98,1,0))</f>
        <v>0</v>
      </c>
      <c r="AX39" s="556">
        <f>IF(AND($AN$98&gt;6,SUM(AM39,AO39:AQ39,AU39,AW39)=1),0,AN39-SUM(AM39,AO39:AQ39,AU39,AW39)*10)</f>
        <v>0</v>
      </c>
      <c r="AY39" s="556">
        <f>IF(SUM($AY$27:AY33)=1,0,IF(AX39=$AX$98,1,0))</f>
        <v>0</v>
      </c>
      <c r="AZ39" s="556">
        <f>IF(AND($AN$98&gt;7,SUM(AM39,AO39:AQ39,AU39,AW39,AY39)=1),0,AN39-SUM(AM39,AO39:AQ39,AU39,AW39,AY39)*10)</f>
        <v>0</v>
      </c>
      <c r="BA39" s="556">
        <f>IF(SUM($BA$27:BA33)=1,0,IF(AZ39=$AZ$98,1,0))</f>
        <v>0</v>
      </c>
      <c r="BB39" s="556">
        <f>IF($AN$98&lt;8,0,IF(AND($AN$98&gt;8,SUM(AM39,AO39:AQ39,AU39,AW39,AY39,BA39)=0),AN39,0))</f>
        <v>0</v>
      </c>
      <c r="BC39" s="556">
        <f>IF(SUM($BC$27:BC33)=1,0,IF(BB39=0,0,IF(BB39=$BB$98,1,0)))</f>
        <v>0</v>
      </c>
      <c r="BD39" s="235" t="str">
        <f t="shared" ref="BD39:BO39" si="2">IF(I39=0,"",IF(I39="A",1,IF(I39="B",2,IF(I39="C",3,FALSE()))))</f>
        <v/>
      </c>
      <c r="BE39" s="234" t="str">
        <f t="shared" si="2"/>
        <v/>
      </c>
      <c r="BF39" s="232" t="str">
        <f t="shared" si="2"/>
        <v/>
      </c>
      <c r="BG39" s="235" t="str">
        <f t="shared" si="2"/>
        <v/>
      </c>
      <c r="BH39" s="234" t="str">
        <f t="shared" si="2"/>
        <v/>
      </c>
      <c r="BI39" s="232" t="str">
        <f t="shared" si="2"/>
        <v/>
      </c>
      <c r="BJ39" s="235" t="str">
        <f t="shared" si="2"/>
        <v/>
      </c>
      <c r="BK39" s="234" t="str">
        <f t="shared" si="2"/>
        <v/>
      </c>
      <c r="BL39" s="232" t="str">
        <f t="shared" si="2"/>
        <v/>
      </c>
      <c r="BM39" s="235" t="b">
        <f t="shared" si="2"/>
        <v>0</v>
      </c>
      <c r="BN39" s="234" t="str">
        <f t="shared" si="2"/>
        <v/>
      </c>
      <c r="BO39" s="232" t="str">
        <f t="shared" si="2"/>
        <v/>
      </c>
      <c r="BP39" s="233">
        <f>COUNTIF(BD39:BO39,1)</f>
        <v>0</v>
      </c>
      <c r="BQ39" s="232">
        <f>COUNTIF(BD39:BO39,2)</f>
        <v>0</v>
      </c>
      <c r="BR39" s="232">
        <f>COUNTIF(BD39:BO39,3)</f>
        <v>0</v>
      </c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</row>
    <row r="40" spans="1:94" ht="14.85" customHeight="1">
      <c r="A40" s="255" t="s">
        <v>17998</v>
      </c>
      <c r="B40" s="248"/>
      <c r="C40" s="248"/>
      <c r="D40" s="260"/>
      <c r="E40" s="197"/>
      <c r="F40" s="241"/>
      <c r="G40" s="240" t="s">
        <v>7</v>
      </c>
      <c r="H40" s="239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201"/>
      <c r="V40" s="222"/>
      <c r="W40" s="246"/>
      <c r="X40" s="546"/>
      <c r="Y40" s="546"/>
      <c r="Z40" s="546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  <c r="AM40" s="557"/>
      <c r="AN40" s="557"/>
      <c r="AO40" s="557"/>
      <c r="AP40" s="557"/>
      <c r="AQ40" s="557"/>
      <c r="AS40" s="557"/>
      <c r="AT40" s="557"/>
      <c r="AU40" s="557"/>
      <c r="AV40" s="557"/>
      <c r="AW40" s="557"/>
      <c r="AX40" s="557"/>
      <c r="AY40" s="557"/>
      <c r="AZ40" s="557"/>
      <c r="BA40" s="557"/>
      <c r="BB40" s="557"/>
      <c r="BC40" s="557"/>
      <c r="BD40" s="235"/>
      <c r="BE40" s="234"/>
      <c r="BF40" s="232"/>
      <c r="BG40" s="235"/>
      <c r="BH40" s="234"/>
      <c r="BI40" s="232"/>
      <c r="BJ40" s="235"/>
      <c r="BK40" s="234"/>
      <c r="BL40" s="232"/>
      <c r="BM40" s="235"/>
      <c r="BN40" s="234"/>
      <c r="BO40" s="232"/>
      <c r="BP40" s="233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</row>
    <row r="41" spans="1:94" ht="14.85" customHeight="1">
      <c r="A41" s="255"/>
      <c r="B41" s="248"/>
      <c r="C41" s="248"/>
      <c r="D41" s="260"/>
      <c r="E41" s="197"/>
      <c r="F41" s="241"/>
      <c r="G41" s="240"/>
      <c r="H41" s="239" t="s">
        <v>18089</v>
      </c>
      <c r="I41" s="671"/>
      <c r="J41" s="669"/>
      <c r="K41" s="369"/>
      <c r="L41" s="671"/>
      <c r="M41" s="669"/>
      <c r="N41" s="369"/>
      <c r="O41" s="671"/>
      <c r="P41" s="669"/>
      <c r="Q41" s="369"/>
      <c r="R41" s="671"/>
      <c r="S41" s="669" t="s">
        <v>17960</v>
      </c>
      <c r="T41" s="369"/>
      <c r="U41" s="201"/>
      <c r="V41" s="222"/>
      <c r="W41" s="246"/>
      <c r="X41" s="546"/>
      <c r="Y41" s="546"/>
      <c r="Z41" s="546"/>
      <c r="AB41" s="557"/>
      <c r="AC41" s="557"/>
      <c r="AD41" s="557"/>
      <c r="AE41" s="557"/>
      <c r="AF41" s="557"/>
      <c r="AG41" s="557"/>
      <c r="AH41" s="557"/>
      <c r="AI41" s="557"/>
      <c r="AJ41" s="557"/>
      <c r="AK41" s="557"/>
      <c r="AM41" s="557"/>
      <c r="AN41" s="557"/>
      <c r="AO41" s="557"/>
      <c r="AP41" s="557"/>
      <c r="AQ41" s="557"/>
      <c r="AS41" s="557"/>
      <c r="AT41" s="557"/>
      <c r="AU41" s="557"/>
      <c r="AV41" s="557"/>
      <c r="AW41" s="557"/>
      <c r="AX41" s="557"/>
      <c r="AY41" s="557"/>
      <c r="AZ41" s="557"/>
      <c r="BA41" s="557"/>
      <c r="BB41" s="557"/>
      <c r="BC41" s="557"/>
      <c r="BD41" s="235"/>
      <c r="BE41" s="234"/>
      <c r="BF41" s="232"/>
      <c r="BG41" s="235"/>
      <c r="BH41" s="234"/>
      <c r="BI41" s="232"/>
      <c r="BJ41" s="235"/>
      <c r="BK41" s="234"/>
      <c r="BL41" s="232"/>
      <c r="BM41" s="235"/>
      <c r="BN41" s="234"/>
      <c r="BO41" s="232"/>
      <c r="BP41" s="233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</row>
    <row r="42" spans="1:94" ht="14.85" customHeight="1" thickBot="1">
      <c r="A42" s="231"/>
      <c r="B42" s="230"/>
      <c r="C42" s="230"/>
      <c r="D42" s="229"/>
      <c r="E42" s="228"/>
      <c r="F42" s="227"/>
      <c r="G42" s="226"/>
      <c r="H42" s="225"/>
      <c r="I42" s="672"/>
      <c r="J42" s="670"/>
      <c r="K42" s="369"/>
      <c r="L42" s="672"/>
      <c r="M42" s="670"/>
      <c r="N42" s="370"/>
      <c r="O42" s="672"/>
      <c r="P42" s="670"/>
      <c r="Q42" s="369"/>
      <c r="R42" s="672"/>
      <c r="S42" s="670"/>
      <c r="T42" s="369"/>
      <c r="U42" s="263"/>
      <c r="V42" s="295"/>
      <c r="W42" s="236"/>
      <c r="X42" s="567"/>
      <c r="Y42" s="567"/>
      <c r="Z42" s="567"/>
      <c r="AB42" s="558"/>
      <c r="AC42" s="558"/>
      <c r="AD42" s="558"/>
      <c r="AE42" s="558"/>
      <c r="AF42" s="558"/>
      <c r="AG42" s="558"/>
      <c r="AH42" s="558"/>
      <c r="AI42" s="558"/>
      <c r="AJ42" s="558"/>
      <c r="AK42" s="558"/>
      <c r="AM42" s="558"/>
      <c r="AN42" s="558"/>
      <c r="AO42" s="558"/>
      <c r="AP42" s="558"/>
      <c r="AQ42" s="558"/>
      <c r="AS42" s="558"/>
      <c r="AT42" s="558"/>
      <c r="AU42" s="558"/>
      <c r="AV42" s="558"/>
      <c r="AW42" s="558"/>
      <c r="AX42" s="558"/>
      <c r="AY42" s="558"/>
      <c r="AZ42" s="558"/>
      <c r="BA42" s="558"/>
      <c r="BB42" s="558"/>
      <c r="BC42" s="558"/>
      <c r="BD42" s="221"/>
      <c r="BE42" s="220"/>
      <c r="BF42" s="218"/>
      <c r="BG42" s="221"/>
      <c r="BH42" s="220"/>
      <c r="BI42" s="218"/>
      <c r="BJ42" s="221"/>
      <c r="BK42" s="220"/>
      <c r="BL42" s="218"/>
      <c r="BM42" s="221"/>
      <c r="BN42" s="220"/>
      <c r="BO42" s="218"/>
      <c r="BP42" s="219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</row>
    <row r="43" spans="1:94" ht="14.85" customHeight="1">
      <c r="A43" s="283"/>
      <c r="B43" s="282"/>
      <c r="C43" s="282"/>
      <c r="D43" s="281"/>
      <c r="E43" s="280"/>
      <c r="F43" s="275"/>
      <c r="G43" s="274"/>
      <c r="H43" s="273" t="s">
        <v>18093</v>
      </c>
      <c r="I43" s="661"/>
      <c r="J43" s="654"/>
      <c r="K43" s="367"/>
      <c r="L43" s="661"/>
      <c r="M43" s="654"/>
      <c r="N43" s="367"/>
      <c r="O43" s="661"/>
      <c r="P43" s="654"/>
      <c r="Q43" s="367"/>
      <c r="R43" s="661"/>
      <c r="S43" s="654">
        <v>3</v>
      </c>
      <c r="T43" s="367"/>
      <c r="U43" s="272" t="str">
        <f>IF($L$4=0,"",IF(COUNTA(I43:T44)=W45,"",IF(AND(COUNTA(I43:T44)=0,V45=0),"","Nb.prel")))</f>
        <v/>
      </c>
      <c r="V43" s="294"/>
      <c r="W43" s="293"/>
      <c r="X43" s="568"/>
      <c r="Y43" s="568"/>
      <c r="Z43" s="568"/>
      <c r="AB43" s="559"/>
      <c r="AC43" s="559"/>
      <c r="AD43" s="559"/>
      <c r="AE43" s="559"/>
      <c r="AF43" s="559"/>
      <c r="AG43" s="559"/>
      <c r="AH43" s="559"/>
      <c r="AI43" s="559"/>
      <c r="AJ43" s="559"/>
      <c r="AK43" s="559"/>
      <c r="AM43" s="559"/>
      <c r="AN43" s="559"/>
      <c r="AO43" s="559"/>
      <c r="AP43" s="559"/>
      <c r="AQ43" s="559"/>
      <c r="AS43" s="559"/>
      <c r="AT43" s="559"/>
      <c r="AU43" s="559"/>
      <c r="AV43" s="559"/>
      <c r="AW43" s="559"/>
      <c r="AX43" s="559"/>
      <c r="AY43" s="559"/>
      <c r="AZ43" s="559"/>
      <c r="BA43" s="559"/>
      <c r="BB43" s="559"/>
      <c r="BC43" s="559"/>
      <c r="BD43" s="259">
        <f>COUNTIF(I43:K43,"&gt;0")</f>
        <v>0</v>
      </c>
      <c r="BE43" s="258"/>
      <c r="BF43" s="256"/>
      <c r="BG43" s="259">
        <f>COUNTIF(L43:N43,"&gt;0")</f>
        <v>0</v>
      </c>
      <c r="BH43" s="258"/>
      <c r="BI43" s="256"/>
      <c r="BJ43" s="259">
        <f>COUNTIF(O43:Q43,"&gt;0")</f>
        <v>0</v>
      </c>
      <c r="BK43" s="258"/>
      <c r="BL43" s="256"/>
      <c r="BM43" s="259">
        <f>COUNTIF(R43:T43,"&gt;0")</f>
        <v>1</v>
      </c>
      <c r="BN43" s="258"/>
      <c r="BO43" s="256"/>
      <c r="BP43" s="257"/>
      <c r="BQ43" s="256"/>
      <c r="BR43" s="256"/>
      <c r="BS43" s="256">
        <f>COUNTIF(I43:T43,1)</f>
        <v>0</v>
      </c>
      <c r="BT43" s="256">
        <f>COUNTIF(I43:T43,2)</f>
        <v>0</v>
      </c>
      <c r="BU43" s="256">
        <f>COUNTIF(I43:T43,3)</f>
        <v>1</v>
      </c>
      <c r="BV43" s="256">
        <f>COUNTIF(I43:T43,4)</f>
        <v>0</v>
      </c>
      <c r="BW43" s="256">
        <f>COUNTIF(I43:T43,5)</f>
        <v>0</v>
      </c>
      <c r="BX43" s="256">
        <f>COUNTIF(I43:T43,6)</f>
        <v>0</v>
      </c>
      <c r="BY43" s="256">
        <f>COUNTIF(I43:T43,7)</f>
        <v>0</v>
      </c>
      <c r="BZ43" s="256">
        <f>COUNTIF(I43:T43,8)</f>
        <v>0</v>
      </c>
      <c r="CA43" s="256">
        <f>COUNTIF(I43:T43,9)</f>
        <v>0</v>
      </c>
      <c r="CB43" s="256">
        <f>COUNTIF(I43:T43,10)</f>
        <v>0</v>
      </c>
      <c r="CC43" s="256">
        <f>COUNTIF(I43:T43,11)</f>
        <v>0</v>
      </c>
      <c r="CD43" s="256">
        <f>COUNTIF(I43:T43,12)</f>
        <v>0</v>
      </c>
      <c r="CE43" s="256">
        <f>IF(BS43=0,0,HLOOKUP(1,$I$44:$T$49,3,FALSE()))</f>
        <v>0</v>
      </c>
      <c r="CF43" s="256">
        <f>IF(BT43=0,0,HLOOKUP(2,$I$44:$T$49,3,FALSE()))</f>
        <v>0</v>
      </c>
      <c r="CG43" s="256" t="e">
        <f>IF(BU43=0,0,HLOOKUP(3,$I$44:$T$49,3,FALSE()))</f>
        <v>#N/A</v>
      </c>
      <c r="CH43" s="256">
        <f>IF(BV43=0,0,HLOOKUP(4,$I$44:$T$49,3,FALSE()))</f>
        <v>0</v>
      </c>
      <c r="CI43" s="256">
        <f>IF(BW43=0,0,HLOOKUP(5,$I$44:$T$49,3,FALSE()))</f>
        <v>0</v>
      </c>
      <c r="CJ43" s="256">
        <f>IF(BX43=0,0,HLOOKUP(6,$I$44:$T$49,3,FALSE()))</f>
        <v>0</v>
      </c>
      <c r="CK43" s="256">
        <f>IF(BY43=0,0,HLOOKUP(7,$I$44:$T$49,3,FALSE()))</f>
        <v>0</v>
      </c>
      <c r="CL43" s="256">
        <f>IF(BZ43=0,0,HLOOKUP(8,$I$44:$T$49,3,FALSE()))</f>
        <v>0</v>
      </c>
      <c r="CM43" s="256">
        <f>IF(CA43=0,0,HLOOKUP(9,$I$44:$T$49,3,FALSE()))</f>
        <v>0</v>
      </c>
      <c r="CN43" s="256">
        <f>IF(CB43=0,0,HLOOKUP(10,$I$44:$T$49,3,FALSE()))</f>
        <v>0</v>
      </c>
      <c r="CO43" s="256">
        <f>IF(CC43=0,0,HLOOKUP(11,$I$44:$T$49,3,FALSE()))</f>
        <v>0</v>
      </c>
      <c r="CP43" s="256">
        <f>IF(CD43=0,0,HLOOKUP(12,$I$44:$T$49,3,FALSE()))</f>
        <v>0</v>
      </c>
    </row>
    <row r="44" spans="1:94" ht="14.85" customHeight="1">
      <c r="A44" s="255" t="s">
        <v>18109</v>
      </c>
      <c r="B44" s="248"/>
      <c r="C44" s="248"/>
      <c r="D44" s="659"/>
      <c r="E44" s="659"/>
      <c r="F44" s="241"/>
      <c r="G44" s="240"/>
      <c r="H44" s="254"/>
      <c r="I44" s="662"/>
      <c r="J44" s="655"/>
      <c r="K44" s="368"/>
      <c r="L44" s="662"/>
      <c r="M44" s="655"/>
      <c r="N44" s="368"/>
      <c r="O44" s="662"/>
      <c r="P44" s="655"/>
      <c r="Q44" s="368"/>
      <c r="R44" s="662"/>
      <c r="S44" s="655"/>
      <c r="T44" s="368"/>
      <c r="U44" s="201"/>
      <c r="V44" s="269"/>
      <c r="W44" s="246"/>
      <c r="X44" s="546"/>
      <c r="Y44" s="546"/>
      <c r="Z44" s="546"/>
      <c r="AB44" s="557"/>
      <c r="AC44" s="557"/>
      <c r="AD44" s="557"/>
      <c r="AE44" s="557"/>
      <c r="AF44" s="557"/>
      <c r="AG44" s="557"/>
      <c r="AH44" s="557"/>
      <c r="AI44" s="557"/>
      <c r="AJ44" s="557"/>
      <c r="AK44" s="557"/>
      <c r="AM44" s="557"/>
      <c r="AN44" s="557"/>
      <c r="AO44" s="557"/>
      <c r="AP44" s="557"/>
      <c r="AQ44" s="557"/>
      <c r="AS44" s="557"/>
      <c r="AT44" s="557"/>
      <c r="AU44" s="557"/>
      <c r="AV44" s="557"/>
      <c r="AW44" s="557"/>
      <c r="AX44" s="557"/>
      <c r="AY44" s="557"/>
      <c r="AZ44" s="557"/>
      <c r="BA44" s="557"/>
      <c r="BB44" s="557"/>
      <c r="BC44" s="557"/>
      <c r="BD44" s="252"/>
      <c r="BE44" s="251"/>
      <c r="BF44" s="249"/>
      <c r="BG44" s="252"/>
      <c r="BH44" s="251"/>
      <c r="BI44" s="249"/>
      <c r="BJ44" s="252"/>
      <c r="BK44" s="251"/>
      <c r="BL44" s="249"/>
      <c r="BM44" s="252"/>
      <c r="BN44" s="251"/>
      <c r="BO44" s="249"/>
      <c r="BP44" s="250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</row>
    <row r="45" spans="1:94" ht="14.85" customHeight="1">
      <c r="A45" s="255" t="s">
        <v>18108</v>
      </c>
      <c r="B45" s="248"/>
      <c r="C45" s="248"/>
      <c r="D45" s="659" t="s">
        <v>18091</v>
      </c>
      <c r="E45" s="659"/>
      <c r="F45" s="241"/>
      <c r="G45" s="240"/>
      <c r="H45" s="239" t="s">
        <v>18087</v>
      </c>
      <c r="I45" s="660"/>
      <c r="J45" s="660"/>
      <c r="K45" s="660"/>
      <c r="L45" s="660"/>
      <c r="M45" s="660"/>
      <c r="N45" s="660"/>
      <c r="O45" s="660" t="s">
        <v>17961</v>
      </c>
      <c r="P45" s="660"/>
      <c r="Q45" s="660"/>
      <c r="R45" s="660" t="s">
        <v>17942</v>
      </c>
      <c r="S45" s="660"/>
      <c r="T45" s="660"/>
      <c r="U45" s="201" t="str">
        <f>IF($L$4=0,"",IF(COUNTBLANK(I43:T43)=12,"",IF(COUNTBLANK(I45:T45)=12,"% rec.",IF(OR(COUNTIF(I45:T45,"x")&gt;1,COUNTIF(I45:T45,"xx")&gt;1,COUNTIF(I45:T45,"xxx")&gt;1,COUNTIF(I45:T45,"xxxx")&gt;1),"% rec.",""))))</f>
        <v/>
      </c>
      <c r="V45" s="268">
        <v>1</v>
      </c>
      <c r="W45" s="206">
        <f>IF(V45=0,"",SUM(X45:Z45))</f>
        <v>1</v>
      </c>
      <c r="X45" s="546">
        <f>IF(V45=0,"",IF(SUM(AB45,AD45,AE45,AF45,AG45,AI45,AJ45)=0,"",(IF(MAX($AC$27:$AC$93)&lt;1,SUM(AB45,AD45,AE45,AF45,AG45,AI45,AJ45),IF(OR(V45=0,AB45=0),"",IF(AB45=1,SUM(AB45,AD45,AE45,AF45,AG45,AI45),0))))))</f>
        <v>1</v>
      </c>
      <c r="Y45" s="546" t="str">
        <f>IF(OR(V45=0,SUM(AM45,AO45,AP45,AQ45)=0,V45="P"),"",SUM(AM45,AO45,AP45,AQ45))</f>
        <v/>
      </c>
      <c r="Z45" s="546" t="str">
        <f>IF(OR(V45=0,SUM(AS45,AU45,AW45,AY45,BA45,BC45)=0),"",IF(SUM(AU45,AW45,AY45,BA45)=0,"",SUM(AU45,AW45,AY45,BA45)))</f>
        <v/>
      </c>
      <c r="AB45" s="556">
        <f>IF(V45=0,0,IF(V45&lt;5,1,0))</f>
        <v>1</v>
      </c>
      <c r="AC45" s="556">
        <f>IF(OR(V45=0,V45&gt;4.9),0,V45)</f>
        <v>1</v>
      </c>
      <c r="AD45" s="556">
        <f>IF(AC45&lt;1,0,IF($AB$98=4,0,IF(SUM($AB$98,$AD$27:AD39)=4,0,IF(MAX($AC$27:$AC$93)=AC45,1,0))))</f>
        <v>0</v>
      </c>
      <c r="AE45" s="556">
        <f>IF($AB$98=4,0,IF(SUM($AB$98,$AD$98,$AE$27:AE39)=4,0,IF(AND($AC$99=1,AC45&gt;0.99),1,IF(AND($AC$98=1,$AC$99=1,AD45=0,AC45&gt;0),1,IF(AND($AC$99=2,AD45=0,AC45&gt;0.99),1,0)))))</f>
        <v>0</v>
      </c>
      <c r="AF45" s="556">
        <f>IF(AND($AB$98=1,AC45&gt;0.99),1,0)</f>
        <v>0</v>
      </c>
      <c r="AG45" s="556">
        <f>IF($AN$98&lt;9,0,IF($AC$99=0,BC45))</f>
        <v>0</v>
      </c>
      <c r="AH45" s="556">
        <f>IF(AND(MAX($AC$27:$AC$93)&lt;1,AN45&gt;4.9),1,0)</f>
        <v>0</v>
      </c>
      <c r="AI45" s="556">
        <f>IF(AH45=0,0,IF(SUM($AC$98,$AG$98,$AH$27:AH39)&gt;3,0,1))</f>
        <v>0</v>
      </c>
      <c r="AJ45" s="556">
        <f>IF(AND(SUM($AI$98,$AC$98,$AG$98)=3,AI45=1,SUM($AI$27:AI39)=0),1,0)</f>
        <v>0</v>
      </c>
      <c r="AK45" s="556"/>
      <c r="AM45" s="556">
        <f>IF(OR(ISTEXT(V45)=TRUE(),V45=0),0,IF(V45&gt;4.9,1,0))</f>
        <v>0</v>
      </c>
      <c r="AN45" s="556">
        <f>IF(OR(V45=0,ISTEXT(V45)=TRUE(),V45&lt;5),0,V45)</f>
        <v>0</v>
      </c>
      <c r="AO45" s="556">
        <f>IF($AM$98=4,0,IF(SUM($AM$98,$AO$27:AO39)=4,0,IF(MAX($AN$27:$AN$93)=AN45,1,0)))</f>
        <v>0</v>
      </c>
      <c r="AP45" s="556">
        <f>IF($AN$98&gt;2,0,IF(AND(LARGE($AN$27:$AN$93,2)&lt;24.1,AO45=1),1,IF(AND((LARGE($AN$27:$AN$93,2))=AN45,$AM$98=2,AN45&gt;24),1,0)))</f>
        <v>0</v>
      </c>
      <c r="AQ45" s="556">
        <f>IF(AND($AM$98=1,AN45&gt;0),1,0)</f>
        <v>0</v>
      </c>
      <c r="AS45" s="556">
        <f>IF(AND($AN$98&gt;4,AN45&gt;4.9,SUM(AM45,AO45:AQ45)=0),1,0)</f>
        <v>0</v>
      </c>
      <c r="AT45" s="556">
        <f>IF(AND($AN$98&gt;4,AS45=0),0,AN45-SUM(AM45,AO45:AQ45)*10)</f>
        <v>0</v>
      </c>
      <c r="AU45" s="556">
        <f>IF(SUM($AU$27:AU39)=1,0,IF(AT45=$AT$99,1,0))</f>
        <v>0</v>
      </c>
      <c r="AV45" s="556">
        <f>IF(AND($AN$98&gt;5,SUM(AM45,AO45:AQ45,AU45)=1),0,AN45-SUM(AM45,AO45:AQ45,AU45)*10)</f>
        <v>0</v>
      </c>
      <c r="AW45" s="556">
        <f>IF(SUM($AW$27:AW39)=1,0,IF(AV45=$AV$98,1,0))</f>
        <v>0</v>
      </c>
      <c r="AX45" s="556">
        <f>IF(AND($AN$98&gt;6,SUM(AM45,AO45:AQ45,AU45,AW45)=1),0,AN45-SUM(AM45,AO45:AQ45,AU45,AW45)*10)</f>
        <v>0</v>
      </c>
      <c r="AY45" s="556">
        <f>IF(SUM($AY$27:AY39)=1,0,IF(AX45=$AX$98,1,0))</f>
        <v>0</v>
      </c>
      <c r="AZ45" s="556">
        <f>IF(AND($AN$98&gt;7,SUM(AM45,AO45:AQ45,AU45,AW45,AY45)=1),0,AN45-SUM(AM45,AO45:AQ45,AU45,AW45,AY45)*10)</f>
        <v>0</v>
      </c>
      <c r="BA45" s="556">
        <f>IF(SUM($BA$27:BA39)=1,0,IF(AZ45=$AZ$98,1,0))</f>
        <v>0</v>
      </c>
      <c r="BB45" s="556">
        <f>IF($AN$98&lt;8,0,IF(AND($AN$98&gt;8,SUM(AM45,AO45:AQ45,AU45,AW45,AY45,BA45)=0),AN45,0))</f>
        <v>0</v>
      </c>
      <c r="BC45" s="556">
        <f>IF(SUM($BC$27:BC39)=1,0,IF(BB45=0,0,IF(BB45=$BB$98,1,0)))</f>
        <v>0</v>
      </c>
      <c r="BD45" s="235" t="str">
        <f t="shared" ref="BD45:BO45" si="3">IF(I45=0,"",IF(I45="A",1,IF(I45="B",2,IF(I45="C",3,FALSE()))))</f>
        <v/>
      </c>
      <c r="BE45" s="234" t="str">
        <f t="shared" si="3"/>
        <v/>
      </c>
      <c r="BF45" s="232" t="str">
        <f t="shared" si="3"/>
        <v/>
      </c>
      <c r="BG45" s="235" t="str">
        <f t="shared" si="3"/>
        <v/>
      </c>
      <c r="BH45" s="234" t="str">
        <f t="shared" si="3"/>
        <v/>
      </c>
      <c r="BI45" s="232" t="str">
        <f t="shared" si="3"/>
        <v/>
      </c>
      <c r="BJ45" s="235" t="b">
        <f t="shared" si="3"/>
        <v>0</v>
      </c>
      <c r="BK45" s="234" t="str">
        <f t="shared" si="3"/>
        <v/>
      </c>
      <c r="BL45" s="232" t="str">
        <f t="shared" si="3"/>
        <v/>
      </c>
      <c r="BM45" s="235" t="b">
        <f t="shared" si="3"/>
        <v>0</v>
      </c>
      <c r="BN45" s="234" t="str">
        <f t="shared" si="3"/>
        <v/>
      </c>
      <c r="BO45" s="232" t="str">
        <f t="shared" si="3"/>
        <v/>
      </c>
      <c r="BP45" s="233">
        <f>COUNTIF(BD45:BO45,1)</f>
        <v>0</v>
      </c>
      <c r="BQ45" s="232">
        <f>COUNTIF(BD45:BO45,2)</f>
        <v>0</v>
      </c>
      <c r="BR45" s="232">
        <f>COUNTIF(BD45:BO45,3)</f>
        <v>0</v>
      </c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232"/>
      <c r="CP45" s="232"/>
    </row>
    <row r="46" spans="1:94" ht="14.85" customHeight="1">
      <c r="A46" s="255" t="s">
        <v>18107</v>
      </c>
      <c r="B46" s="248"/>
      <c r="C46" s="248"/>
      <c r="D46" s="260"/>
      <c r="E46" s="197"/>
      <c r="F46" s="241"/>
      <c r="G46" s="240" t="s">
        <v>10</v>
      </c>
      <c r="H46" s="239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201"/>
      <c r="V46" s="222"/>
      <c r="W46" s="246"/>
      <c r="X46" s="546"/>
      <c r="Y46" s="546"/>
      <c r="Z46" s="546"/>
      <c r="AB46" s="557"/>
      <c r="AC46" s="557"/>
      <c r="AD46" s="557"/>
      <c r="AE46" s="557"/>
      <c r="AF46" s="557"/>
      <c r="AG46" s="557"/>
      <c r="AH46" s="557"/>
      <c r="AI46" s="557"/>
      <c r="AJ46" s="557"/>
      <c r="AK46" s="557"/>
      <c r="AM46" s="557"/>
      <c r="AN46" s="557"/>
      <c r="AO46" s="557"/>
      <c r="AP46" s="557"/>
      <c r="AQ46" s="557"/>
      <c r="AS46" s="557"/>
      <c r="AT46" s="557"/>
      <c r="AU46" s="557"/>
      <c r="AV46" s="557"/>
      <c r="AW46" s="557"/>
      <c r="AX46" s="557"/>
      <c r="AY46" s="557"/>
      <c r="AZ46" s="557"/>
      <c r="BA46" s="557"/>
      <c r="BB46" s="557"/>
      <c r="BC46" s="557"/>
      <c r="BD46" s="235"/>
      <c r="BE46" s="234"/>
      <c r="BF46" s="232"/>
      <c r="BG46" s="235"/>
      <c r="BH46" s="234"/>
      <c r="BI46" s="232"/>
      <c r="BJ46" s="235"/>
      <c r="BK46" s="234"/>
      <c r="BL46" s="232"/>
      <c r="BM46" s="235"/>
      <c r="BN46" s="234"/>
      <c r="BO46" s="232"/>
      <c r="BP46" s="233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</row>
    <row r="47" spans="1:94" ht="14.85" customHeight="1">
      <c r="A47" s="255" t="s">
        <v>18106</v>
      </c>
      <c r="B47" s="248"/>
      <c r="C47" s="248"/>
      <c r="D47" s="260"/>
      <c r="E47" s="197"/>
      <c r="F47" s="241"/>
      <c r="G47" s="240"/>
      <c r="H47" s="239" t="s">
        <v>18089</v>
      </c>
      <c r="I47" s="671"/>
      <c r="J47" s="669"/>
      <c r="K47" s="369"/>
      <c r="L47" s="671"/>
      <c r="M47" s="669"/>
      <c r="N47" s="369"/>
      <c r="O47" s="671"/>
      <c r="P47" s="669"/>
      <c r="Q47" s="369"/>
      <c r="R47" s="671"/>
      <c r="S47" s="669" t="s">
        <v>17960</v>
      </c>
      <c r="T47" s="369"/>
      <c r="U47" s="201"/>
      <c r="V47" s="222"/>
      <c r="W47" s="246"/>
      <c r="X47" s="546"/>
      <c r="Y47" s="546"/>
      <c r="Z47" s="546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M47" s="557"/>
      <c r="AN47" s="557"/>
      <c r="AO47" s="557"/>
      <c r="AP47" s="557"/>
      <c r="AQ47" s="557"/>
      <c r="AS47" s="557"/>
      <c r="AT47" s="557"/>
      <c r="AU47" s="557"/>
      <c r="AV47" s="557"/>
      <c r="AW47" s="557"/>
      <c r="AX47" s="557"/>
      <c r="AY47" s="557"/>
      <c r="AZ47" s="557"/>
      <c r="BA47" s="557"/>
      <c r="BB47" s="557"/>
      <c r="BC47" s="557"/>
      <c r="BD47" s="235"/>
      <c r="BE47" s="234"/>
      <c r="BF47" s="232"/>
      <c r="BG47" s="235"/>
      <c r="BH47" s="234"/>
      <c r="BI47" s="232"/>
      <c r="BJ47" s="235"/>
      <c r="BK47" s="234"/>
      <c r="BL47" s="232"/>
      <c r="BM47" s="235"/>
      <c r="BN47" s="234"/>
      <c r="BO47" s="232"/>
      <c r="BP47" s="233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2"/>
      <c r="CL47" s="232"/>
      <c r="CM47" s="232"/>
      <c r="CN47" s="232"/>
      <c r="CO47" s="232"/>
      <c r="CP47" s="232"/>
    </row>
    <row r="48" spans="1:94" ht="14.85" customHeight="1" thickBot="1">
      <c r="A48" s="231"/>
      <c r="B48" s="230"/>
      <c r="C48" s="230"/>
      <c r="D48" s="229"/>
      <c r="E48" s="228"/>
      <c r="F48" s="227"/>
      <c r="G48" s="226"/>
      <c r="H48" s="225"/>
      <c r="I48" s="672"/>
      <c r="J48" s="670"/>
      <c r="K48" s="369"/>
      <c r="L48" s="672"/>
      <c r="M48" s="670"/>
      <c r="N48" s="369"/>
      <c r="O48" s="672"/>
      <c r="P48" s="670"/>
      <c r="Q48" s="369"/>
      <c r="R48" s="672"/>
      <c r="S48" s="670"/>
      <c r="T48" s="369"/>
      <c r="U48" s="263"/>
      <c r="V48" s="295"/>
      <c r="W48" s="236"/>
      <c r="X48" s="567"/>
      <c r="Y48" s="567"/>
      <c r="Z48" s="56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M48" s="557"/>
      <c r="AN48" s="557"/>
      <c r="AO48" s="557"/>
      <c r="AP48" s="557"/>
      <c r="AQ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235"/>
      <c r="BE48" s="234"/>
      <c r="BF48" s="232"/>
      <c r="BG48" s="235"/>
      <c r="BH48" s="234"/>
      <c r="BI48" s="232"/>
      <c r="BJ48" s="235"/>
      <c r="BK48" s="234"/>
      <c r="BL48" s="232"/>
      <c r="BM48" s="235"/>
      <c r="BN48" s="234"/>
      <c r="BO48" s="232"/>
      <c r="BP48" s="233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2"/>
    </row>
    <row r="49" spans="1:94" ht="14.85" customHeight="1">
      <c r="A49" s="283"/>
      <c r="B49" s="282"/>
      <c r="C49" s="282"/>
      <c r="D49" s="281"/>
      <c r="E49" s="280"/>
      <c r="F49" s="275"/>
      <c r="G49" s="286"/>
      <c r="H49" s="273" t="s">
        <v>18093</v>
      </c>
      <c r="I49" s="661"/>
      <c r="J49" s="654">
        <v>12</v>
      </c>
      <c r="K49" s="367"/>
      <c r="L49" s="661"/>
      <c r="M49" s="654">
        <v>5</v>
      </c>
      <c r="N49" s="367"/>
      <c r="O49" s="661"/>
      <c r="P49" s="654">
        <v>8</v>
      </c>
      <c r="Q49" s="367"/>
      <c r="R49" s="661"/>
      <c r="S49" s="654">
        <v>9</v>
      </c>
      <c r="T49" s="367"/>
      <c r="U49" s="272" t="str">
        <f>IF($L$4=0,"",IF(COUNTA(I49:T50)=W51,"",IF(AND(COUNTA(I49:T50)=0,V51=0),"","Nb.prel")))</f>
        <v/>
      </c>
      <c r="V49" s="271"/>
      <c r="W49" s="270"/>
      <c r="X49" s="565"/>
      <c r="Y49" s="565"/>
      <c r="Z49" s="565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M49" s="551"/>
      <c r="AN49" s="551"/>
      <c r="AO49" s="551"/>
      <c r="AP49" s="551"/>
      <c r="AQ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259">
        <f>COUNTIF(I49:K49,"&gt;0")</f>
        <v>1</v>
      </c>
      <c r="BE49" s="258"/>
      <c r="BF49" s="256"/>
      <c r="BG49" s="259">
        <f>COUNTIF(L49:N49,"&gt;0")</f>
        <v>1</v>
      </c>
      <c r="BH49" s="258"/>
      <c r="BI49" s="256"/>
      <c r="BJ49" s="259">
        <f>COUNTIF(O49:Q49,"&gt;0")</f>
        <v>1</v>
      </c>
      <c r="BK49" s="258"/>
      <c r="BL49" s="256"/>
      <c r="BM49" s="259">
        <f>COUNTIF(R49:T49,"&gt;0")</f>
        <v>1</v>
      </c>
      <c r="BN49" s="258"/>
      <c r="BO49" s="256"/>
      <c r="BP49" s="257"/>
      <c r="BQ49" s="256"/>
      <c r="BR49" s="256"/>
      <c r="BS49" s="256">
        <f>COUNTIF(I49:T49,1)</f>
        <v>0</v>
      </c>
      <c r="BT49" s="256">
        <f>COUNTIF(I49:T49,2)</f>
        <v>0</v>
      </c>
      <c r="BU49" s="256">
        <f>COUNTIF(I49:T49,3)</f>
        <v>0</v>
      </c>
      <c r="BV49" s="256">
        <f>COUNTIF(I49:T49,4)</f>
        <v>0</v>
      </c>
      <c r="BW49" s="256">
        <f>COUNTIF(I49:T49,5)</f>
        <v>1</v>
      </c>
      <c r="BX49" s="256">
        <f>COUNTIF(I49:T49,6)</f>
        <v>0</v>
      </c>
      <c r="BY49" s="256">
        <f>COUNTIF(I49:T49,7)</f>
        <v>0</v>
      </c>
      <c r="BZ49" s="256">
        <f>COUNTIF(I49:T49,8)</f>
        <v>1</v>
      </c>
      <c r="CA49" s="256">
        <f>COUNTIF(I49:T49,9)</f>
        <v>1</v>
      </c>
      <c r="CB49" s="256">
        <f>COUNTIF(I49:T49,10)</f>
        <v>0</v>
      </c>
      <c r="CC49" s="256">
        <f>COUNTIF(I49:T49,11)</f>
        <v>0</v>
      </c>
      <c r="CD49" s="256">
        <f>COUNTIF(I49:T49,12)</f>
        <v>1</v>
      </c>
      <c r="CE49" s="256">
        <f>IF(BS49=0,0,HLOOKUP(1,$I$50:$T$55,3,FALSE()))</f>
        <v>0</v>
      </c>
      <c r="CF49" s="256">
        <f>IF(BT49=0,0,HLOOKUP(2,$I$50:$T$55,3,FALSE()))</f>
        <v>0</v>
      </c>
      <c r="CG49" s="256">
        <f>IF(BU49=0,0,HLOOKUP(3,$I$50:$T$55,3,FALSE()))</f>
        <v>0</v>
      </c>
      <c r="CH49" s="256">
        <f>IF(BV49=0,0,HLOOKUP(4,$I$50:$T$55,3,FALSE()))</f>
        <v>0</v>
      </c>
      <c r="CI49" s="256" t="e">
        <f>IF(BW49=0,0,HLOOKUP(5,$I$50:$T$55,3,FALSE()))</f>
        <v>#N/A</v>
      </c>
      <c r="CJ49" s="256">
        <f>IF(BX49=0,0,HLOOKUP(6,$I$50:$T$55,3,FALSE()))</f>
        <v>0</v>
      </c>
      <c r="CK49" s="256">
        <f>IF(BY49=0,0,HLOOKUP(7,$I$50:$T$55,3,FALSE()))</f>
        <v>0</v>
      </c>
      <c r="CL49" s="256" t="e">
        <f>IF(BZ49=0,0,HLOOKUP(8,$I$50:$T$55,3,FALSE()))</f>
        <v>#N/A</v>
      </c>
      <c r="CM49" s="256" t="e">
        <f>IF(CA49=0,0,HLOOKUP(9,$I$50:$T$55,3,FALSE()))</f>
        <v>#N/A</v>
      </c>
      <c r="CN49" s="256">
        <f>IF(CB49=0,0,HLOOKUP(10,$I$50:$T$55,3,FALSE()))</f>
        <v>0</v>
      </c>
      <c r="CO49" s="256">
        <f>IF(CC49=0,0,HLOOKUP(11,$I$50:$T$55,3,FALSE()))</f>
        <v>0</v>
      </c>
      <c r="CP49" s="256" t="e">
        <f>IF(CD49=0,0,HLOOKUP(12,$I$50:$T$55,3,FALSE()))</f>
        <v>#N/A</v>
      </c>
    </row>
    <row r="50" spans="1:94" ht="14.85" customHeight="1">
      <c r="A50" s="255" t="s">
        <v>18105</v>
      </c>
      <c r="B50" s="248"/>
      <c r="C50" s="248"/>
      <c r="D50" s="659"/>
      <c r="E50" s="659"/>
      <c r="F50" s="241"/>
      <c r="G50" s="285"/>
      <c r="H50" s="254"/>
      <c r="I50" s="662"/>
      <c r="J50" s="655"/>
      <c r="K50" s="368"/>
      <c r="L50" s="662"/>
      <c r="M50" s="655"/>
      <c r="N50" s="368"/>
      <c r="O50" s="662"/>
      <c r="P50" s="655"/>
      <c r="Q50" s="368"/>
      <c r="R50" s="662"/>
      <c r="S50" s="655"/>
      <c r="T50" s="368"/>
      <c r="U50" s="201"/>
      <c r="V50" s="269"/>
      <c r="W50" s="246"/>
      <c r="X50" s="546"/>
      <c r="Y50" s="546"/>
      <c r="Z50" s="546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M50" s="557"/>
      <c r="AN50" s="557"/>
      <c r="AO50" s="557"/>
      <c r="AP50" s="557"/>
      <c r="AQ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252"/>
      <c r="BE50" s="251"/>
      <c r="BF50" s="249"/>
      <c r="BG50" s="252"/>
      <c r="BH50" s="251"/>
      <c r="BI50" s="249"/>
      <c r="BJ50" s="252"/>
      <c r="BK50" s="251"/>
      <c r="BL50" s="249"/>
      <c r="BM50" s="252"/>
      <c r="BN50" s="251"/>
      <c r="BO50" s="249"/>
      <c r="BP50" s="250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</row>
    <row r="51" spans="1:94" ht="14.85" customHeight="1">
      <c r="A51" s="245" t="s">
        <v>18104</v>
      </c>
      <c r="B51" s="248"/>
      <c r="C51" s="248"/>
      <c r="D51" s="659" t="s">
        <v>18091</v>
      </c>
      <c r="E51" s="659"/>
      <c r="F51" s="241"/>
      <c r="G51" s="285"/>
      <c r="H51" s="239" t="s">
        <v>18087</v>
      </c>
      <c r="I51" s="660" t="s">
        <v>17961</v>
      </c>
      <c r="J51" s="660"/>
      <c r="K51" s="660"/>
      <c r="L51" s="660" t="s">
        <v>17916</v>
      </c>
      <c r="M51" s="660"/>
      <c r="N51" s="660"/>
      <c r="O51" s="660" t="s">
        <v>17930</v>
      </c>
      <c r="P51" s="660"/>
      <c r="Q51" s="660"/>
      <c r="R51" s="660" t="s">
        <v>17942</v>
      </c>
      <c r="S51" s="660"/>
      <c r="T51" s="660"/>
      <c r="U51" s="201" t="str">
        <f>IF($L$4=0,"",IF(COUNTBLANK(I49:T49)=12,"",IF(COUNTBLANK(I51:T51)=12,"% rec.",IF(OR(COUNTIF(I51:T51,"x")&gt;1,COUNTIF(I51:T51,"xx")&gt;1,COUNTIF(I51:T51,"xxx")&gt;1,COUNTIF(I51:T51,"xxxx")&gt;1),"% rec.",""))))</f>
        <v/>
      </c>
      <c r="V51" s="268">
        <v>45</v>
      </c>
      <c r="W51" s="206">
        <f>IF(V51=0,"",SUM(X51:Z51))</f>
        <v>4</v>
      </c>
      <c r="X51" s="546" t="str">
        <f>IF(V51=0,"",IF(SUM(AB51,AD51,AE51,AF51,AG51,AI51,AJ51)=0,"",(IF(MAX($AC$27:$AC$93)&lt;1,SUM(AB51,AD51,AE51,AF51,AG51,AI51,AJ51),IF(OR(V51=0,AB51=0),"",IF(AB51=1,SUM(AB51,AD51,AE51,AF51,AG51,AI51),0))))))</f>
        <v/>
      </c>
      <c r="Y51" s="546">
        <f>IF(OR(V51=0,SUM(AM51,AO51,AP51,AQ51)=0,V51="P"),"",SUM(AM51,AO51,AP51,AQ51))</f>
        <v>2</v>
      </c>
      <c r="Z51" s="546">
        <f>IF(OR(V51=0,SUM(AS51,AU51,AW51,AY51,BA51,BC51)=0),"",IF(SUM(AU51,AW51,AY51,BA51)=0,"",SUM(AU51,AW51,AY51,BA51)))</f>
        <v>2</v>
      </c>
      <c r="AB51" s="556">
        <f>IF(V51=0,0,IF(AND(V51&lt;5,SUM(AB27:AB45)&lt;4),1,0))</f>
        <v>0</v>
      </c>
      <c r="AC51" s="556">
        <f>IF(OR(V51=0,V51&gt;4.9),0,V51)</f>
        <v>0</v>
      </c>
      <c r="AD51" s="556">
        <f>IF(AC51&lt;1,0,IF($AB$98=4,0,IF(SUM($AB$98,$AD$27:AD45)=4,0,IF(MAX($AC$27:$AC$93)=AC51,1,0))))</f>
        <v>0</v>
      </c>
      <c r="AE51" s="556">
        <f>IF($AB$98=4,0,IF(SUM($AB$98,$AD$98,$AE$27:AE45)=4,0,IF(AND($AC$99=1,AC51&gt;0.99),1,IF(AND($AC$98=1,$AC$99=1,AD51=0,AC51&gt;0),1,IF(AND($AC$99=2,AD51=0,AC51&gt;0.99),1,0)))))</f>
        <v>0</v>
      </c>
      <c r="AF51" s="556">
        <f>IF(AND($AB$98=1,AC51&gt;0.99),1,0)</f>
        <v>0</v>
      </c>
      <c r="AG51" s="556">
        <f>IF($AN$98&lt;9,0,IF($AC$99=0,BC51))</f>
        <v>0</v>
      </c>
      <c r="AH51" s="556">
        <f>IF(AND(MAX($AC$27:$AC$93)&lt;1,AN51&gt;4.9),1,0)</f>
        <v>0</v>
      </c>
      <c r="AI51" s="556">
        <f>IF(AH51=0,0,IF(SUM($AC$98,$AG$98,$AH$27:AH45)&gt;3,0,1))</f>
        <v>0</v>
      </c>
      <c r="AJ51" s="556">
        <f>IF(AND(SUM($AI$98,$AC$98,$AG$98)=3,AI51=1,SUM($AI$27:AI45)=0),1,0)</f>
        <v>0</v>
      </c>
      <c r="AK51" s="556"/>
      <c r="AM51" s="556">
        <f>IF(OR(ISTEXT(V51)=TRUE(),V51=0),0,IF(AND(V51&gt;4.9,SUM(AM27:AM45)&lt;4),1,0))</f>
        <v>1</v>
      </c>
      <c r="AN51" s="556">
        <f>IF(OR(V51=0,ISTEXT(V51)=TRUE(),V51&lt;5),0,V51)</f>
        <v>45</v>
      </c>
      <c r="AO51" s="556">
        <f>IF($AM$98=4,0,IF(SUM($AM$98,$AO$27:AO45)=4,0,IF(MAX($AN$27:$AN$93)=AN51,1,0)))</f>
        <v>1</v>
      </c>
      <c r="AP51" s="556">
        <f>IF($AN$98&gt;2,0,IF(AND(LARGE($AN$27:$AN$93,2)&lt;24.1,AO51=1),1,IF(AND((LARGE($AN$27:$AN$93,2))=AN51,$AM$98=2,AN51&gt;24),1,0)))</f>
        <v>0</v>
      </c>
      <c r="AQ51" s="556">
        <f>IF(AND($AM$98=1,AN51&gt;0),1,0)</f>
        <v>0</v>
      </c>
      <c r="AS51" s="556">
        <f>IF(AND($AN$98&gt;4,V51&gt;4.9,SUM(AM51,AO51:AQ51)=0),1,0)</f>
        <v>0</v>
      </c>
      <c r="AT51" s="556">
        <f>IF(AND($AN$98&gt;4,AS51=0),0,AN51-SUM(AM51,AO51:AQ51)*10)</f>
        <v>25</v>
      </c>
      <c r="AU51" s="556">
        <f>IF(SUM($AU$27:AU45)=1,0,IF(AT51=$AT$99,1,0))</f>
        <v>1</v>
      </c>
      <c r="AV51" s="556">
        <f>IF(AND($AN$98&gt;5,SUM(AM51,AO51:AQ51,AU51)=1),0,AN51-SUM(AM51,AO51:AQ51,AU51)*10)</f>
        <v>15</v>
      </c>
      <c r="AW51" s="556">
        <f>IF(SUM($AW$27:AW45)=1,0,IF(AV51=$AV$98,1,0))</f>
        <v>0</v>
      </c>
      <c r="AX51" s="556">
        <f>IF(AND($AN$98&gt;6,SUM(AM51,AO51:AQ51,AU51,AW51)=1),0,AN51-SUM(AM51,AO51:AQ51,AU51,AW51)*10)</f>
        <v>15</v>
      </c>
      <c r="AY51" s="556">
        <f>IF(SUM($AY$27:AY45)=1,0,IF(AX51=$AX$98,1,0))</f>
        <v>1</v>
      </c>
      <c r="AZ51" s="556">
        <f>IF(AND($AN$98&gt;7,SUM(AM51,AO51:AQ51,AU51,AW51,AY51)=1),0,AN51-SUM(AM51,AO51:AQ51,AU51,AW51,AY51)*10)</f>
        <v>5</v>
      </c>
      <c r="BA51" s="556">
        <f>IF(SUM($BA$27:BA45)=1,0,IF(AZ51=$AZ$98,1,0))</f>
        <v>0</v>
      </c>
      <c r="BB51" s="556">
        <f>IF($AN$98&lt;8,0,IF(AND($AN$98&gt;8,SUM(AM51,AO51:AQ51,AU51,AW51,AY51,BA51)=0),AN51,0))</f>
        <v>0</v>
      </c>
      <c r="BC51" s="556">
        <f>IF(SUM($BC$27:BC45)=1,0,IF(BB51=0,0,IF(BB51=$BB$98,1,0)))</f>
        <v>0</v>
      </c>
      <c r="BD51" s="235" t="b">
        <f t="shared" ref="BD51:BO51" si="4">IF(I51=0,"",IF(I51="A",1,IF(I51="B",2,IF(I51="C",3,FALSE()))))</f>
        <v>0</v>
      </c>
      <c r="BE51" s="234" t="str">
        <f t="shared" si="4"/>
        <v/>
      </c>
      <c r="BF51" s="232" t="str">
        <f t="shared" si="4"/>
        <v/>
      </c>
      <c r="BG51" s="235" t="b">
        <f t="shared" si="4"/>
        <v>0</v>
      </c>
      <c r="BH51" s="234" t="str">
        <f t="shared" si="4"/>
        <v/>
      </c>
      <c r="BI51" s="232" t="str">
        <f t="shared" si="4"/>
        <v/>
      </c>
      <c r="BJ51" s="235" t="b">
        <f t="shared" si="4"/>
        <v>0</v>
      </c>
      <c r="BK51" s="234" t="str">
        <f t="shared" si="4"/>
        <v/>
      </c>
      <c r="BL51" s="232" t="str">
        <f t="shared" si="4"/>
        <v/>
      </c>
      <c r="BM51" s="235" t="b">
        <f t="shared" si="4"/>
        <v>0</v>
      </c>
      <c r="BN51" s="234" t="str">
        <f t="shared" si="4"/>
        <v/>
      </c>
      <c r="BO51" s="232" t="str">
        <f t="shared" si="4"/>
        <v/>
      </c>
      <c r="BP51" s="233">
        <f>COUNTIF(BD51:BO51,1)</f>
        <v>0</v>
      </c>
      <c r="BQ51" s="232">
        <f>COUNTIF(BD51:BO51,2)</f>
        <v>0</v>
      </c>
      <c r="BR51" s="232">
        <f>COUNTIF(BD51:BO51,3)</f>
        <v>0</v>
      </c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232"/>
    </row>
    <row r="52" spans="1:94" ht="14.85" customHeight="1">
      <c r="A52" s="245" t="s">
        <v>18003</v>
      </c>
      <c r="B52" s="244"/>
      <c r="C52" s="244"/>
      <c r="D52" s="243"/>
      <c r="E52" s="242"/>
      <c r="F52" s="241"/>
      <c r="G52" s="285" t="s">
        <v>14</v>
      </c>
      <c r="H52" s="239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201"/>
      <c r="V52" s="222"/>
      <c r="W52" s="246"/>
      <c r="X52" s="546"/>
      <c r="Y52" s="546"/>
      <c r="Z52" s="546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M52" s="557"/>
      <c r="AN52" s="557"/>
      <c r="AO52" s="557"/>
      <c r="AP52" s="557"/>
      <c r="AQ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235"/>
      <c r="BE52" s="234"/>
      <c r="BF52" s="232"/>
      <c r="BG52" s="235"/>
      <c r="BH52" s="234"/>
      <c r="BI52" s="232"/>
      <c r="BJ52" s="235"/>
      <c r="BK52" s="234"/>
      <c r="BL52" s="232"/>
      <c r="BM52" s="235"/>
      <c r="BN52" s="234"/>
      <c r="BO52" s="232"/>
      <c r="BP52" s="233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</row>
    <row r="53" spans="1:94" ht="14.85" customHeight="1">
      <c r="A53" s="245"/>
      <c r="B53" s="244"/>
      <c r="C53" s="244"/>
      <c r="D53" s="243"/>
      <c r="E53" s="242"/>
      <c r="F53" s="241"/>
      <c r="G53" s="285"/>
      <c r="H53" s="239" t="s">
        <v>18089</v>
      </c>
      <c r="I53" s="671"/>
      <c r="J53" s="669" t="s">
        <v>17929</v>
      </c>
      <c r="K53" s="369"/>
      <c r="L53" s="671"/>
      <c r="M53" s="669" t="s">
        <v>17941</v>
      </c>
      <c r="N53" s="369"/>
      <c r="O53" s="671"/>
      <c r="P53" s="669" t="s">
        <v>17941</v>
      </c>
      <c r="Q53" s="369"/>
      <c r="R53" s="671"/>
      <c r="S53" s="669" t="s">
        <v>17929</v>
      </c>
      <c r="T53" s="369"/>
      <c r="U53" s="201"/>
      <c r="V53" s="222"/>
      <c r="W53" s="246"/>
      <c r="X53" s="546"/>
      <c r="Y53" s="546"/>
      <c r="Z53" s="546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M53" s="557"/>
      <c r="AN53" s="557"/>
      <c r="AO53" s="557"/>
      <c r="AP53" s="557"/>
      <c r="AQ53" s="557"/>
      <c r="AS53" s="557"/>
      <c r="AT53" s="557"/>
      <c r="AU53" s="557"/>
      <c r="AV53" s="557"/>
      <c r="AW53" s="557"/>
      <c r="AX53" s="557"/>
      <c r="AY53" s="557"/>
      <c r="AZ53" s="557"/>
      <c r="BA53" s="557"/>
      <c r="BB53" s="557"/>
      <c r="BC53" s="557"/>
      <c r="BD53" s="235"/>
      <c r="BE53" s="234"/>
      <c r="BF53" s="232"/>
      <c r="BG53" s="235"/>
      <c r="BH53" s="234"/>
      <c r="BI53" s="232"/>
      <c r="BJ53" s="235"/>
      <c r="BK53" s="234"/>
      <c r="BL53" s="232"/>
      <c r="BM53" s="235"/>
      <c r="BN53" s="234"/>
      <c r="BO53" s="232"/>
      <c r="BP53" s="233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</row>
    <row r="54" spans="1:94" ht="14.85" customHeight="1" thickBot="1">
      <c r="A54" s="231"/>
      <c r="B54" s="230"/>
      <c r="C54" s="230"/>
      <c r="D54" s="229"/>
      <c r="E54" s="228"/>
      <c r="F54" s="227"/>
      <c r="G54" s="284"/>
      <c r="H54" s="225"/>
      <c r="I54" s="672"/>
      <c r="J54" s="670"/>
      <c r="K54" s="369"/>
      <c r="L54" s="672"/>
      <c r="M54" s="670"/>
      <c r="N54" s="369"/>
      <c r="O54" s="672"/>
      <c r="P54" s="670"/>
      <c r="Q54" s="369"/>
      <c r="R54" s="672"/>
      <c r="S54" s="670"/>
      <c r="T54" s="369"/>
      <c r="U54" s="263"/>
      <c r="V54" s="262"/>
      <c r="W54" s="261"/>
      <c r="X54" s="566"/>
      <c r="Y54" s="566"/>
      <c r="Z54" s="566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M54" s="558"/>
      <c r="AN54" s="558"/>
      <c r="AO54" s="558"/>
      <c r="AP54" s="558"/>
      <c r="AQ54" s="558"/>
      <c r="AS54" s="558"/>
      <c r="AT54" s="558"/>
      <c r="AU54" s="558"/>
      <c r="AV54" s="558"/>
      <c r="AW54" s="558"/>
      <c r="AX54" s="558"/>
      <c r="AY54" s="558"/>
      <c r="AZ54" s="558"/>
      <c r="BA54" s="558"/>
      <c r="BB54" s="558"/>
      <c r="BC54" s="558"/>
      <c r="BD54" s="221"/>
      <c r="BE54" s="220"/>
      <c r="BF54" s="218"/>
      <c r="BG54" s="221"/>
      <c r="BH54" s="220"/>
      <c r="BI54" s="218"/>
      <c r="BJ54" s="221"/>
      <c r="BK54" s="220"/>
      <c r="BL54" s="218"/>
      <c r="BM54" s="221"/>
      <c r="BN54" s="220"/>
      <c r="BO54" s="218"/>
      <c r="BP54" s="219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</row>
    <row r="55" spans="1:94" ht="14.85" customHeight="1">
      <c r="A55" s="283"/>
      <c r="B55" s="282"/>
      <c r="C55" s="282"/>
      <c r="D55" s="281"/>
      <c r="E55" s="280"/>
      <c r="F55" s="275"/>
      <c r="G55" s="286"/>
      <c r="H55" s="273" t="s">
        <v>18093</v>
      </c>
      <c r="I55" s="661"/>
      <c r="J55" s="654"/>
      <c r="K55" s="367"/>
      <c r="L55" s="661"/>
      <c r="M55" s="654">
        <v>6</v>
      </c>
      <c r="N55" s="367"/>
      <c r="O55" s="661"/>
      <c r="P55" s="654">
        <v>11</v>
      </c>
      <c r="Q55" s="367"/>
      <c r="R55" s="661"/>
      <c r="S55" s="654"/>
      <c r="T55" s="367"/>
      <c r="U55" s="272" t="str">
        <f>IF($L$4=0,"",IF(COUNTA(I55:T56)=W57,"",IF(AND(COUNTA(I55:T56)=0,V57=0),"","Nb.prel")))</f>
        <v/>
      </c>
      <c r="V55" s="294"/>
      <c r="W55" s="293"/>
      <c r="X55" s="568"/>
      <c r="Y55" s="568"/>
      <c r="Z55" s="568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M55" s="559"/>
      <c r="AN55" s="559"/>
      <c r="AO55" s="559"/>
      <c r="AP55" s="559"/>
      <c r="AQ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259">
        <f>COUNTIF(I55:K55,"&gt;0")</f>
        <v>0</v>
      </c>
      <c r="BE55" s="258"/>
      <c r="BF55" s="256"/>
      <c r="BG55" s="259">
        <f>COUNTIF(L55:N55,"&gt;0")</f>
        <v>1</v>
      </c>
      <c r="BH55" s="258"/>
      <c r="BI55" s="256"/>
      <c r="BJ55" s="259">
        <f>COUNTIF(O55:Q55,"&gt;0")</f>
        <v>1</v>
      </c>
      <c r="BK55" s="258"/>
      <c r="BL55" s="256"/>
      <c r="BM55" s="259">
        <f>COUNTIF(R55:T55,"&gt;0")</f>
        <v>0</v>
      </c>
      <c r="BN55" s="258"/>
      <c r="BO55" s="256"/>
      <c r="BP55" s="257"/>
      <c r="BQ55" s="256"/>
      <c r="BR55" s="256"/>
      <c r="BS55" s="256">
        <f>COUNTIF(I55:T55,1)</f>
        <v>0</v>
      </c>
      <c r="BT55" s="256">
        <f>COUNTIF(I55:T55,2)</f>
        <v>0</v>
      </c>
      <c r="BU55" s="256">
        <f>COUNTIF(I55:T55,3)</f>
        <v>0</v>
      </c>
      <c r="BV55" s="256">
        <f>COUNTIF(I55:T55,4)</f>
        <v>0</v>
      </c>
      <c r="BW55" s="256">
        <f>COUNTIF(I55:T55,5)</f>
        <v>0</v>
      </c>
      <c r="BX55" s="256">
        <f>COUNTIF(I55:T55,6)</f>
        <v>1</v>
      </c>
      <c r="BY55" s="256">
        <f>COUNTIF(I55:T55,7)</f>
        <v>0</v>
      </c>
      <c r="BZ55" s="256">
        <f>COUNTIF(I55:T55,8)</f>
        <v>0</v>
      </c>
      <c r="CA55" s="256">
        <f>COUNTIF(I55:T55,9)</f>
        <v>0</v>
      </c>
      <c r="CB55" s="256">
        <f>COUNTIF(I55:T55,10)</f>
        <v>0</v>
      </c>
      <c r="CC55" s="256">
        <f>COUNTIF(I55:T55,11)</f>
        <v>1</v>
      </c>
      <c r="CD55" s="256">
        <f>COUNTIF(I55:T55,12)</f>
        <v>0</v>
      </c>
      <c r="CE55" s="256">
        <f>IF(BS55=0,0,HLOOKUP(1,$I$56:$T$61,3,FALSE()))</f>
        <v>0</v>
      </c>
      <c r="CF55" s="256">
        <f>IF(BT55=0,0,HLOOKUP(2,$I$56:$T$61,3,FALSE()))</f>
        <v>0</v>
      </c>
      <c r="CG55" s="256">
        <f>IF(BU55=0,0,HLOOKUP(3,$I$56:$T$61,3,FALSE()))</f>
        <v>0</v>
      </c>
      <c r="CH55" s="256">
        <f>IF(BV55=0,0,HLOOKUP(4,$I$56:$T$61,3,FALSE()))</f>
        <v>0</v>
      </c>
      <c r="CI55" s="256">
        <f>IF(BW55=0,0,HLOOKUP(5,$I$56:$T$61,3,FALSE()))</f>
        <v>0</v>
      </c>
      <c r="CJ55" s="256" t="e">
        <f>IF(BX55=0,0,HLOOKUP(6,$I$56:$T$61,3,FALSE()))</f>
        <v>#N/A</v>
      </c>
      <c r="CK55" s="256">
        <f>IF(BY55=0,0,HLOOKUP(7,$I$56:$T$61,3,FALSE()))</f>
        <v>0</v>
      </c>
      <c r="CL55" s="256">
        <f>IF(BZ55=0,0,HLOOKUP(8,$I$56:$T$61,3,FALSE()))</f>
        <v>0</v>
      </c>
      <c r="CM55" s="256">
        <f>IF(CA55=0,0,HLOOKUP(9,$I$56:$T$61,3,FALSE()))</f>
        <v>0</v>
      </c>
      <c r="CN55" s="256">
        <f>IF(CB55=0,0,HLOOKUP(10,$I$56:$T$61,3,FALSE()))</f>
        <v>0</v>
      </c>
      <c r="CO55" s="256" t="e">
        <f>IF(CC55=0,0,HLOOKUP(11,$I$56:$T$61,3,FALSE()))</f>
        <v>#N/A</v>
      </c>
      <c r="CP55" s="256">
        <f>IF(CD55=0,0,HLOOKUP(12,$I$56:$T$61,3,FALSE()))</f>
        <v>0</v>
      </c>
    </row>
    <row r="56" spans="1:94" ht="14.85" customHeight="1">
      <c r="A56" s="255" t="s">
        <v>18103</v>
      </c>
      <c r="B56" s="248"/>
      <c r="C56" s="248"/>
      <c r="D56" s="659"/>
      <c r="E56" s="659"/>
      <c r="F56" s="241"/>
      <c r="G56" s="285"/>
      <c r="H56" s="254"/>
      <c r="I56" s="662"/>
      <c r="J56" s="655"/>
      <c r="K56" s="368"/>
      <c r="L56" s="662"/>
      <c r="M56" s="655"/>
      <c r="N56" s="368"/>
      <c r="O56" s="662"/>
      <c r="P56" s="655"/>
      <c r="Q56" s="368"/>
      <c r="R56" s="662"/>
      <c r="S56" s="655"/>
      <c r="T56" s="368"/>
      <c r="U56" s="201"/>
      <c r="V56" s="292"/>
      <c r="W56" s="291"/>
      <c r="X56" s="547"/>
      <c r="Y56" s="547"/>
      <c r="Z56" s="547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M56" s="559"/>
      <c r="AN56" s="559"/>
      <c r="AO56" s="559"/>
      <c r="AP56" s="559"/>
      <c r="AQ56" s="559"/>
      <c r="AS56" s="559"/>
      <c r="AT56" s="559"/>
      <c r="AU56" s="559"/>
      <c r="AV56" s="559"/>
      <c r="AW56" s="559"/>
      <c r="AX56" s="559"/>
      <c r="AY56" s="559"/>
      <c r="AZ56" s="559"/>
      <c r="BA56" s="559"/>
      <c r="BB56" s="559"/>
      <c r="BC56" s="559"/>
      <c r="BD56" s="252"/>
      <c r="BE56" s="251"/>
      <c r="BF56" s="249"/>
      <c r="BG56" s="252"/>
      <c r="BH56" s="251"/>
      <c r="BI56" s="249"/>
      <c r="BJ56" s="252"/>
      <c r="BK56" s="251"/>
      <c r="BL56" s="249"/>
      <c r="BM56" s="252"/>
      <c r="BN56" s="251"/>
      <c r="BO56" s="249"/>
      <c r="BP56" s="250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</row>
    <row r="57" spans="1:94" ht="14.85" customHeight="1">
      <c r="A57" s="245" t="s">
        <v>18102</v>
      </c>
      <c r="B57" s="248"/>
      <c r="C57" s="248"/>
      <c r="D57" s="659" t="s">
        <v>18091</v>
      </c>
      <c r="E57" s="659"/>
      <c r="F57" s="241"/>
      <c r="G57" s="285"/>
      <c r="H57" s="239" t="s">
        <v>18087</v>
      </c>
      <c r="I57" s="660" t="s">
        <v>17942</v>
      </c>
      <c r="J57" s="660"/>
      <c r="K57" s="660"/>
      <c r="L57" s="660" t="s">
        <v>17916</v>
      </c>
      <c r="M57" s="660"/>
      <c r="N57" s="660"/>
      <c r="O57" s="660" t="s">
        <v>17930</v>
      </c>
      <c r="P57" s="660"/>
      <c r="Q57" s="660"/>
      <c r="R57" s="660" t="s">
        <v>17961</v>
      </c>
      <c r="S57" s="660"/>
      <c r="T57" s="660"/>
      <c r="U57" s="201" t="str">
        <f>IF($L$4=0,"",IF(COUNTBLANK(I55:T55)=12,"",IF(COUNTBLANK(I57:T57)=12,"% rec.",IF(OR(COUNTIF(I57:T57,"x")&gt;1,COUNTIF(I57:T57,"xx")&gt;1,COUNTIF(I57:T57,"xxx")&gt;1,COUNTIF(I57:T57,"xxxx")&gt;1),"% rec.",""))))</f>
        <v/>
      </c>
      <c r="V57" s="268">
        <v>20</v>
      </c>
      <c r="W57" s="206">
        <f>IF(V57=0,"",SUM(X57:Z57))</f>
        <v>2</v>
      </c>
      <c r="X57" s="546" t="str">
        <f>IF(V57=0,"",IF(SUM(AB57,AD57,AE57,AF57,AG57,AI57,AJ57)=0,"",(IF(MAX($AC$27:$AC$93)&lt;1,SUM(AB57,AD57,AE57,AF57,AG57,AI57,AJ57),IF(OR(V57=0,AB57=0),"",IF(AB57=1,SUM(AB57,AD57,AE57,AF57,AG57,AI57),0))))))</f>
        <v/>
      </c>
      <c r="Y57" s="546">
        <f>IF(OR(V57=0,SUM(AM57,AO57,AP57,AQ57)=0,V57="P3"),"",SUM(AM57,AO57,AP57,AQ57))</f>
        <v>1</v>
      </c>
      <c r="Z57" s="546">
        <f>IF(OR(V57=0,SUM(AS57,AU57,AW57,AY57,BA57,BC57)=0),"",IF(SUM(AU57,AW57,AY57,BA57)=0,"",SUM(AU57,AW57,AY57,BA57)))</f>
        <v>1</v>
      </c>
      <c r="AB57" s="556">
        <f>IF(V57=0,0,IF(AND(V57&lt;5,SUM($AB$27:AB51)&lt;4),1,0))</f>
        <v>0</v>
      </c>
      <c r="AC57" s="556">
        <f>IF(OR(V57=0,V57&gt;4.9),0,V57)</f>
        <v>0</v>
      </c>
      <c r="AD57" s="556">
        <f>IF(AC57&lt;1,0,IF($AB$98=4,0,IF(SUM($AB$98,$AD$27:AD51)=4,0,IF(MAX($AC$27:$AC$93)=AC57,1,0))))</f>
        <v>0</v>
      </c>
      <c r="AE57" s="556">
        <f>IF($AB$98=4,0,IF(SUM($AB$98,$AD$98,$AE$27:AE51)=4,0,IF(AND($AC$99=1,AC57&gt;0.99),1,IF(AND($AC$98=1,$AC$99=1,AD57=0,AC57&gt;0),1,IF(AND($AC$99=2,AD57=0,AC57&gt;0.99),1,0)))))</f>
        <v>0</v>
      </c>
      <c r="AF57" s="556">
        <f>IF(AND($AB$98=1,AC57&gt;0.99),1,0)</f>
        <v>0</v>
      </c>
      <c r="AG57" s="556">
        <f>IF($AN$98&lt;9,0,IF($AC$99=0,BC57))</f>
        <v>0</v>
      </c>
      <c r="AH57" s="556">
        <f>IF(AND(MAX($AC$27:$AC$93)&lt;1,AN57&gt;4.9),1,0)</f>
        <v>0</v>
      </c>
      <c r="AI57" s="556">
        <f>IF(AH57=0,0,IF(SUM($AC$98,$AG$98,$AH$27:AH51)&gt;3,0,1))</f>
        <v>0</v>
      </c>
      <c r="AJ57" s="556">
        <f>IF(AND(SUM($AI$98,$AC$98,$AG$98)=3,AI57=1,SUM($AI$27:AI51)=0),1,0)</f>
        <v>0</v>
      </c>
      <c r="AK57" s="556"/>
      <c r="AM57" s="556">
        <f>IF(OR(ISTEXT(V57)=TRUE(),V57=0),0,IF(AND(V57&gt;4.9,SUM($AM$27:AM51)&lt;4),1,0))</f>
        <v>1</v>
      </c>
      <c r="AN57" s="556">
        <f>IF(OR(V57=0,ISTEXT(V57)=TRUE(),V57&lt;5),0,V57)</f>
        <v>20</v>
      </c>
      <c r="AO57" s="556">
        <f>IF($AM$98=4,0,IF(SUM($AM$98,$AO$27:AO51)=4,0,IF(MAX($AN$27:$AN$93)=AN57,1,0)))</f>
        <v>0</v>
      </c>
      <c r="AP57" s="556">
        <f>IF($AN$98&gt;2,0,IF(AND(LARGE($AN$27:$AN$93,2)&lt;24.1,AO57=1),1,IF(AND((LARGE($AN$27:$AN$93,2))=AN57,$AM$98=2,AN57&gt;24),1,0)))</f>
        <v>0</v>
      </c>
      <c r="AQ57" s="556">
        <f>IF(AND($AM$98=1,AN57&gt;0),1,0)</f>
        <v>0</v>
      </c>
      <c r="AS57" s="556">
        <f>IF(AND($AN$98&gt;4,V57&gt;4.9,SUM(AM57,AO57:AQ57)=0),1,0)</f>
        <v>0</v>
      </c>
      <c r="AT57" s="556">
        <f>IF(AND($AN$98&gt;4,AS57=0),0,AN57-SUM(AM57,AO57:AQ57)*10)</f>
        <v>10</v>
      </c>
      <c r="AU57" s="556">
        <f>IF(SUM($AU$27:AU51)=1,0,IF(AT57=$AT$99,1,0))</f>
        <v>0</v>
      </c>
      <c r="AV57" s="556">
        <f>IF(AND($AN$98&gt;5,SUM(AM57,AO57:AQ57,AU57)=1),0,AN57-SUM(AM57,AO57:AQ57,AU57)*10)</f>
        <v>10</v>
      </c>
      <c r="AW57" s="556">
        <f>IF(SUM($AW$27:AW51)=1,0,IF(AV57=$AV$98,1,0))</f>
        <v>0</v>
      </c>
      <c r="AX57" s="556">
        <f>IF(AND($AN$98&gt;6,SUM(AM57,AO57:AQ57,AU57,AW57)=1),0,AN57-SUM(AM57,AO57:AQ57,AU57,AW57)*10)</f>
        <v>10</v>
      </c>
      <c r="AY57" s="556">
        <f>IF(SUM($AY$27:AY51)=1,0,IF(AX57=$AX$98,1,0))</f>
        <v>0</v>
      </c>
      <c r="AZ57" s="556">
        <f>IF(AND($AN$98&gt;7,SUM(AM57,AO57:AQ57,AU57,AW57,AY57)=1),0,AN57-SUM(AM57,AO57:AQ57,AU57,AW57,AY57)*10)</f>
        <v>10</v>
      </c>
      <c r="BA57" s="556">
        <f>IF(SUM($BA$27:BA51)=1,0,IF(AZ57=$AZ$98,1,0))</f>
        <v>1</v>
      </c>
      <c r="BB57" s="556">
        <f>IF($AN$98&lt;8,0,IF(AND($AN$98&gt;8,SUM(AM57,AO57:AQ57,AU57,AW57,AY57,BA57)=0),AN57,0))</f>
        <v>0</v>
      </c>
      <c r="BC57" s="556">
        <f>IF(SUM($BC$27:BC51)=1,0,IF(BB57=0,0,IF(BB57=$BB$98,1,0)))</f>
        <v>0</v>
      </c>
      <c r="BD57" s="235" t="b">
        <f t="shared" ref="BD57:BO57" si="5">IF(I57=0,"",IF(I57="A",1,IF(I57="B",2,IF(I57="C",3,FALSE()))))</f>
        <v>0</v>
      </c>
      <c r="BE57" s="234" t="str">
        <f t="shared" si="5"/>
        <v/>
      </c>
      <c r="BF57" s="232" t="str">
        <f t="shared" si="5"/>
        <v/>
      </c>
      <c r="BG57" s="235" t="b">
        <f t="shared" si="5"/>
        <v>0</v>
      </c>
      <c r="BH57" s="234" t="str">
        <f t="shared" si="5"/>
        <v/>
      </c>
      <c r="BI57" s="232" t="str">
        <f t="shared" si="5"/>
        <v/>
      </c>
      <c r="BJ57" s="235" t="b">
        <f t="shared" si="5"/>
        <v>0</v>
      </c>
      <c r="BK57" s="234" t="str">
        <f t="shared" si="5"/>
        <v/>
      </c>
      <c r="BL57" s="232" t="str">
        <f t="shared" si="5"/>
        <v/>
      </c>
      <c r="BM57" s="235" t="b">
        <f t="shared" si="5"/>
        <v>0</v>
      </c>
      <c r="BN57" s="234" t="str">
        <f t="shared" si="5"/>
        <v/>
      </c>
      <c r="BO57" s="232" t="str">
        <f t="shared" si="5"/>
        <v/>
      </c>
      <c r="BP57" s="233">
        <f>COUNTIF(BD57:BO57,1)</f>
        <v>0</v>
      </c>
      <c r="BQ57" s="232">
        <f>COUNTIF(BD57:BO57,2)</f>
        <v>0</v>
      </c>
      <c r="BR57" s="232">
        <f>COUNTIF(BD57:BO57,3)</f>
        <v>0</v>
      </c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</row>
    <row r="58" spans="1:94" ht="14.85" customHeight="1">
      <c r="A58" s="245"/>
      <c r="B58" s="244"/>
      <c r="C58" s="244"/>
      <c r="D58" s="243"/>
      <c r="E58" s="242"/>
      <c r="F58" s="241"/>
      <c r="G58" s="285" t="s">
        <v>15</v>
      </c>
      <c r="H58" s="239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201"/>
      <c r="V58" s="292"/>
      <c r="W58" s="291"/>
      <c r="X58" s="547"/>
      <c r="Y58" s="547"/>
      <c r="Z58" s="547"/>
      <c r="AB58" s="559"/>
      <c r="AC58" s="559"/>
      <c r="AD58" s="559"/>
      <c r="AE58" s="559"/>
      <c r="AF58" s="559"/>
      <c r="AG58" s="559"/>
      <c r="AH58" s="559"/>
      <c r="AI58" s="559"/>
      <c r="AJ58" s="559"/>
      <c r="AK58" s="559"/>
      <c r="AM58" s="559"/>
      <c r="AN58" s="559"/>
      <c r="AO58" s="559"/>
      <c r="AP58" s="559"/>
      <c r="AQ58" s="559"/>
      <c r="AS58" s="559"/>
      <c r="AT58" s="559"/>
      <c r="AU58" s="559"/>
      <c r="AV58" s="559"/>
      <c r="AW58" s="559"/>
      <c r="AX58" s="559"/>
      <c r="AY58" s="559"/>
      <c r="AZ58" s="559"/>
      <c r="BA58" s="559"/>
      <c r="BB58" s="559"/>
      <c r="BC58" s="559"/>
      <c r="BD58" s="235"/>
      <c r="BE58" s="234"/>
      <c r="BF58" s="232"/>
      <c r="BG58" s="235"/>
      <c r="BH58" s="234"/>
      <c r="BI58" s="232"/>
      <c r="BJ58" s="235"/>
      <c r="BK58" s="234"/>
      <c r="BL58" s="232"/>
      <c r="BM58" s="235"/>
      <c r="BN58" s="234"/>
      <c r="BO58" s="232"/>
      <c r="BP58" s="233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2"/>
      <c r="CL58" s="232"/>
      <c r="CM58" s="232"/>
      <c r="CN58" s="232"/>
      <c r="CO58" s="232"/>
      <c r="CP58" s="232"/>
    </row>
    <row r="59" spans="1:94" ht="14.85" customHeight="1">
      <c r="A59" s="245"/>
      <c r="B59" s="244"/>
      <c r="C59" s="244"/>
      <c r="D59" s="243"/>
      <c r="E59" s="242"/>
      <c r="F59" s="241"/>
      <c r="G59" s="285"/>
      <c r="H59" s="239" t="s">
        <v>18089</v>
      </c>
      <c r="I59" s="671"/>
      <c r="J59" s="669"/>
      <c r="K59" s="369"/>
      <c r="L59" s="671"/>
      <c r="M59" s="669" t="s">
        <v>17941</v>
      </c>
      <c r="N59" s="369"/>
      <c r="O59" s="671"/>
      <c r="P59" s="669" t="s">
        <v>17929</v>
      </c>
      <c r="Q59" s="369"/>
      <c r="R59" s="671"/>
      <c r="S59" s="669"/>
      <c r="T59" s="369"/>
      <c r="U59" s="201"/>
      <c r="V59" s="292"/>
      <c r="W59" s="291"/>
      <c r="X59" s="547"/>
      <c r="Y59" s="547"/>
      <c r="Z59" s="547"/>
      <c r="AB59" s="559"/>
      <c r="AC59" s="559"/>
      <c r="AD59" s="559"/>
      <c r="AE59" s="559"/>
      <c r="AF59" s="559"/>
      <c r="AG59" s="559"/>
      <c r="AH59" s="559"/>
      <c r="AI59" s="559"/>
      <c r="AJ59" s="559"/>
      <c r="AK59" s="559"/>
      <c r="AM59" s="559"/>
      <c r="AN59" s="559"/>
      <c r="AO59" s="559"/>
      <c r="AP59" s="559"/>
      <c r="AQ59" s="559"/>
      <c r="AS59" s="559"/>
      <c r="AT59" s="559"/>
      <c r="AU59" s="559"/>
      <c r="AV59" s="559"/>
      <c r="AW59" s="559"/>
      <c r="AX59" s="559"/>
      <c r="AY59" s="559"/>
      <c r="AZ59" s="559"/>
      <c r="BA59" s="559"/>
      <c r="BB59" s="559"/>
      <c r="BC59" s="559"/>
      <c r="BD59" s="235"/>
      <c r="BE59" s="234"/>
      <c r="BF59" s="232"/>
      <c r="BG59" s="235"/>
      <c r="BH59" s="234"/>
      <c r="BI59" s="232"/>
      <c r="BJ59" s="235"/>
      <c r="BK59" s="234"/>
      <c r="BL59" s="232"/>
      <c r="BM59" s="235"/>
      <c r="BN59" s="234"/>
      <c r="BO59" s="232"/>
      <c r="BP59" s="233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</row>
    <row r="60" spans="1:94" ht="14.85" customHeight="1" thickBot="1">
      <c r="A60" s="231"/>
      <c r="B60" s="230"/>
      <c r="C60" s="230"/>
      <c r="D60" s="229"/>
      <c r="E60" s="228"/>
      <c r="F60" s="227"/>
      <c r="G60" s="284"/>
      <c r="H60" s="225"/>
      <c r="I60" s="672"/>
      <c r="J60" s="670"/>
      <c r="K60" s="369"/>
      <c r="L60" s="672"/>
      <c r="M60" s="670"/>
      <c r="N60" s="369"/>
      <c r="O60" s="672"/>
      <c r="P60" s="670"/>
      <c r="Q60" s="369"/>
      <c r="R60" s="672"/>
      <c r="S60" s="670"/>
      <c r="T60" s="370"/>
      <c r="U60" s="263"/>
      <c r="V60" s="262"/>
      <c r="W60" s="261"/>
      <c r="X60" s="566"/>
      <c r="Y60" s="566"/>
      <c r="Z60" s="566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M60" s="559"/>
      <c r="AN60" s="559"/>
      <c r="AO60" s="559"/>
      <c r="AP60" s="559"/>
      <c r="AQ60" s="559"/>
      <c r="AS60" s="559"/>
      <c r="AT60" s="559"/>
      <c r="AU60" s="559"/>
      <c r="AV60" s="559"/>
      <c r="AW60" s="559"/>
      <c r="AX60" s="559"/>
      <c r="AY60" s="559"/>
      <c r="AZ60" s="559"/>
      <c r="BA60" s="559"/>
      <c r="BB60" s="559"/>
      <c r="BC60" s="559"/>
      <c r="BD60" s="221"/>
      <c r="BE60" s="220"/>
      <c r="BF60" s="218"/>
      <c r="BG60" s="221"/>
      <c r="BH60" s="220"/>
      <c r="BI60" s="218"/>
      <c r="BJ60" s="221"/>
      <c r="BK60" s="220"/>
      <c r="BL60" s="218"/>
      <c r="BM60" s="221"/>
      <c r="BN60" s="220"/>
      <c r="BO60" s="218"/>
      <c r="BP60" s="219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</row>
    <row r="61" spans="1:94" ht="14.85" customHeight="1">
      <c r="A61" s="283"/>
      <c r="B61" s="282"/>
      <c r="C61" s="282"/>
      <c r="D61" s="281"/>
      <c r="E61" s="280"/>
      <c r="F61" s="275"/>
      <c r="G61" s="286"/>
      <c r="H61" s="273" t="s">
        <v>18093</v>
      </c>
      <c r="I61" s="661"/>
      <c r="J61" s="654"/>
      <c r="K61" s="367"/>
      <c r="L61" s="661"/>
      <c r="M61" s="654"/>
      <c r="N61" s="367"/>
      <c r="O61" s="661"/>
      <c r="P61" s="654">
        <v>4</v>
      </c>
      <c r="Q61" s="367"/>
      <c r="R61" s="661"/>
      <c r="S61" s="654"/>
      <c r="T61" s="367"/>
      <c r="U61" s="272" t="str">
        <f>IF($L$4=0,"",IF(COUNTA(I61:T62)=W63,"",IF(AND(COUNTA(I61:T62)=0,V63=0),"","Nb.prel")))</f>
        <v/>
      </c>
      <c r="V61" s="271"/>
      <c r="W61" s="270"/>
      <c r="X61" s="565"/>
      <c r="Y61" s="565"/>
      <c r="Z61" s="565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M61" s="551"/>
      <c r="AN61" s="551"/>
      <c r="AO61" s="551"/>
      <c r="AP61" s="551"/>
      <c r="AQ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551"/>
      <c r="BC61" s="551"/>
      <c r="BD61" s="259">
        <f>COUNTIF(I61:K61,"&gt;0")</f>
        <v>0</v>
      </c>
      <c r="BE61" s="258"/>
      <c r="BF61" s="256"/>
      <c r="BG61" s="259">
        <f>COUNTIF(L61:N61,"&gt;0")</f>
        <v>0</v>
      </c>
      <c r="BH61" s="258"/>
      <c r="BI61" s="256"/>
      <c r="BJ61" s="259">
        <f>COUNTIF(O61:Q61,"&gt;0")</f>
        <v>1</v>
      </c>
      <c r="BK61" s="258"/>
      <c r="BL61" s="256"/>
      <c r="BM61" s="259">
        <f>COUNTIF(R61:T61,"&gt;0")</f>
        <v>0</v>
      </c>
      <c r="BN61" s="258"/>
      <c r="BO61" s="256"/>
      <c r="BP61" s="257"/>
      <c r="BQ61" s="256"/>
      <c r="BR61" s="256"/>
      <c r="BS61" s="256">
        <f>COUNTIF(I61:T61,1)</f>
        <v>0</v>
      </c>
      <c r="BT61" s="256">
        <f>COUNTIF(I61:T61,2)</f>
        <v>0</v>
      </c>
      <c r="BU61" s="256">
        <f>COUNTIF(I61:T61,3)</f>
        <v>0</v>
      </c>
      <c r="BV61" s="256">
        <f>COUNTIF(I61:T61,4)</f>
        <v>1</v>
      </c>
      <c r="BW61" s="256">
        <f>COUNTIF(I61:T61,5)</f>
        <v>0</v>
      </c>
      <c r="BX61" s="256">
        <f>COUNTIF(I61:T61,6)</f>
        <v>0</v>
      </c>
      <c r="BY61" s="256">
        <f>COUNTIF(I61:T61,7)</f>
        <v>0</v>
      </c>
      <c r="BZ61" s="256">
        <f>COUNTIF(I61:T61,8)</f>
        <v>0</v>
      </c>
      <c r="CA61" s="256">
        <f>COUNTIF(I61:T61,9)</f>
        <v>0</v>
      </c>
      <c r="CB61" s="256">
        <f>COUNTIF(I61:T61,10)</f>
        <v>0</v>
      </c>
      <c r="CC61" s="256">
        <f>COUNTIF(I61:T61,11)</f>
        <v>0</v>
      </c>
      <c r="CD61" s="256">
        <f>COUNTIF(I61:T61,12)</f>
        <v>0</v>
      </c>
      <c r="CE61" s="256">
        <f>IF(BS61=0,0,HLOOKUP(1,$I$62:$T$67,3,FALSE()))</f>
        <v>0</v>
      </c>
      <c r="CF61" s="256">
        <f>IF(BT61=0,0,HLOOKUP(2,$I$62:$T$67,3,FALSE()))</f>
        <v>0</v>
      </c>
      <c r="CG61" s="256">
        <f>IF(BU61=0,0,HLOOKUP(3,$I$62:$T$67,3,FALSE()))</f>
        <v>0</v>
      </c>
      <c r="CH61" s="256" t="e">
        <f>IF(BV61=0,0,HLOOKUP(4,$I$62:$T$67,3,FALSE()))</f>
        <v>#N/A</v>
      </c>
      <c r="CI61" s="256">
        <f>IF(BW61=0,0,HLOOKUP(5,$I$62:$T$67,3,FALSE()))</f>
        <v>0</v>
      </c>
      <c r="CJ61" s="256">
        <f>IF(BX61=0,0,HLOOKUP(6,$I$62:$T$67,3,FALSE()))</f>
        <v>0</v>
      </c>
      <c r="CK61" s="256">
        <f>IF(BY61=0,0,HLOOKUP(7,$I$62:$T$67,3,FALSE()))</f>
        <v>0</v>
      </c>
      <c r="CL61" s="256">
        <f>IF(BZ61=0,0,HLOOKUP(8,$I$62:$T$67,3,FALSE()))</f>
        <v>0</v>
      </c>
      <c r="CM61" s="256">
        <f>IF(CA61=0,0,HLOOKUP(9,$I$62:$T$67,3,FALSE()))</f>
        <v>0</v>
      </c>
      <c r="CN61" s="256">
        <f>IF(CB61=0,0,HLOOKUP(10,$I$62:$T$67,3,FALSE()))</f>
        <v>0</v>
      </c>
      <c r="CO61" s="256">
        <f>IF(CC61=0,0,HLOOKUP(11,$I$62:$T$67,3,FALSE()))</f>
        <v>0</v>
      </c>
      <c r="CP61" s="256">
        <f>IF(CD61=0,0,HLOOKUP(12,$I$62:$T$67,3,FALSE()))</f>
        <v>0</v>
      </c>
    </row>
    <row r="62" spans="1:94" ht="14.85" customHeight="1">
      <c r="A62" s="255"/>
      <c r="B62" s="248"/>
      <c r="C62" s="248"/>
      <c r="D62" s="659"/>
      <c r="E62" s="659"/>
      <c r="F62" s="241"/>
      <c r="G62" s="285"/>
      <c r="H62" s="254"/>
      <c r="I62" s="662"/>
      <c r="J62" s="655"/>
      <c r="K62" s="368"/>
      <c r="L62" s="662"/>
      <c r="M62" s="655"/>
      <c r="N62" s="368"/>
      <c r="O62" s="662"/>
      <c r="P62" s="655"/>
      <c r="Q62" s="368"/>
      <c r="R62" s="662"/>
      <c r="S62" s="655"/>
      <c r="T62" s="368"/>
      <c r="U62" s="201"/>
      <c r="V62" s="269"/>
      <c r="W62" s="246"/>
      <c r="X62" s="546"/>
      <c r="Y62" s="546"/>
      <c r="Z62" s="546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M62" s="557"/>
      <c r="AN62" s="557"/>
      <c r="AO62" s="557"/>
      <c r="AP62" s="557"/>
      <c r="AQ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252"/>
      <c r="BE62" s="251"/>
      <c r="BF62" s="249"/>
      <c r="BG62" s="252"/>
      <c r="BH62" s="251"/>
      <c r="BI62" s="249"/>
      <c r="BJ62" s="252"/>
      <c r="BK62" s="251"/>
      <c r="BL62" s="249"/>
      <c r="BM62" s="252"/>
      <c r="BN62" s="251"/>
      <c r="BO62" s="249"/>
      <c r="BP62" s="250"/>
      <c r="BQ62" s="249"/>
      <c r="BR62" s="249"/>
      <c r="BS62" s="249"/>
      <c r="BT62" s="249"/>
      <c r="BU62" s="249"/>
      <c r="BV62" s="249"/>
      <c r="BW62" s="249"/>
      <c r="BX62" s="249"/>
      <c r="BY62" s="249"/>
      <c r="BZ62" s="249"/>
      <c r="CA62" s="249"/>
      <c r="CB62" s="249"/>
      <c r="CC62" s="249"/>
      <c r="CD62" s="249"/>
      <c r="CE62" s="249"/>
      <c r="CF62" s="249"/>
      <c r="CG62" s="249"/>
      <c r="CH62" s="249"/>
      <c r="CI62" s="249"/>
      <c r="CJ62" s="249"/>
      <c r="CK62" s="249"/>
      <c r="CL62" s="249"/>
      <c r="CM62" s="249"/>
      <c r="CN62" s="249"/>
      <c r="CO62" s="249"/>
      <c r="CP62" s="249"/>
    </row>
    <row r="63" spans="1:94" ht="14.85" customHeight="1">
      <c r="A63" s="255" t="s">
        <v>18007</v>
      </c>
      <c r="B63" s="248"/>
      <c r="C63" s="248"/>
      <c r="D63" s="659" t="s">
        <v>18091</v>
      </c>
      <c r="E63" s="659"/>
      <c r="F63" s="241"/>
      <c r="G63" s="285"/>
      <c r="H63" s="239" t="s">
        <v>18087</v>
      </c>
      <c r="I63" s="660"/>
      <c r="J63" s="660"/>
      <c r="K63" s="660"/>
      <c r="L63" s="660"/>
      <c r="M63" s="660"/>
      <c r="N63" s="660"/>
      <c r="O63" s="660" t="s">
        <v>17942</v>
      </c>
      <c r="P63" s="660"/>
      <c r="Q63" s="660"/>
      <c r="R63" s="660" t="s">
        <v>17961</v>
      </c>
      <c r="S63" s="660"/>
      <c r="T63" s="660"/>
      <c r="U63" s="201" t="str">
        <f>IF($L$4=0,"",IF(COUNTBLANK(I61:T61)=12,"",IF(COUNTBLANK(I63:T63)=12,"% rec.",IF(OR(COUNTIF(I63:T63,"x")&gt;1,COUNTIF(I63:T63,"xx")&gt;1,COUNTIF(I63:T63,"xxx")&gt;1,COUNTIF(I63:T63,"xxxx")&gt;1),"% rec.",""))))</f>
        <v/>
      </c>
      <c r="V63" s="268">
        <v>1</v>
      </c>
      <c r="W63" s="206">
        <f>IF(V63=0,"",SUM(X63:Z63))</f>
        <v>1</v>
      </c>
      <c r="X63" s="546">
        <f>IF(V63=0,"",IF(SUM(AB63,AD63,AE63,AF63,AG63,AI63,AJ63)=0,"",(IF(MAX($AC$27:$AC$93)&lt;1,SUM(AB63,AD63,AE63,AF63,AG63,AI63,AJ63),IF(OR(V63=0,AB63=0),"",IF(AB63=1,SUM(AB63,AD63,AE63,AF63,AG63,AI63),0))))))</f>
        <v>1</v>
      </c>
      <c r="Y63" s="546" t="str">
        <f>IF(OR(V63=0,SUM(AM63,AO63,AP63,AQ63)=0,V63="P"),"",SUM(AM63,AO63,AP63,AQ63))</f>
        <v/>
      </c>
      <c r="Z63" s="546" t="str">
        <f>IF(OR(V63=0,SUM(AS63,AU63,AW63,AY63,BA63,BC63)=0),"",IF(SUM(AU63,AW63,AY63,BA63)=0,"",SUM(AU63,AW63,AY63,BA63)))</f>
        <v/>
      </c>
      <c r="AB63" s="556">
        <f>IF(V63=0,0,IF(AND(V63&lt;5,SUM($AB$27:AB57)&lt;4),1,0))</f>
        <v>1</v>
      </c>
      <c r="AC63" s="556">
        <f>IF(OR(V63=0,V63&gt;4.9),0,V63)</f>
        <v>1</v>
      </c>
      <c r="AD63" s="556">
        <f>IF(AC63&lt;1,0,IF($AB$98=4,0,IF(SUM($AB$98,$AD$27:AD57)=4,0,IF(MAX($AC$27:$AC$93)=AC63,1,0))))</f>
        <v>0</v>
      </c>
      <c r="AE63" s="556">
        <f>IF($AB$98=4,0,IF(SUM($AB$98,$AD$98,$AE$27:AE57)=4,0,IF(AND($AC$99=1,AC63&gt;0.99),1,IF(AND($AC$98=1,$AC$99=1,AD63=0,AC63&gt;0),1,IF(AND($AC$99=2,AD63=0,AC63&gt;0.99),1,0)))))</f>
        <v>0</v>
      </c>
      <c r="AF63" s="556">
        <f>IF(AND($AB$98=1,AC63&gt;0.99),1,0)</f>
        <v>0</v>
      </c>
      <c r="AG63" s="556">
        <f>IF($AN$98&lt;9,0,IF($AC$99=0,BC63))</f>
        <v>0</v>
      </c>
      <c r="AH63" s="556">
        <f>IF(AND(MAX($AC$27:$AC$93)&lt;1,AN63&gt;4.9),1,0)</f>
        <v>0</v>
      </c>
      <c r="AI63" s="556">
        <f>IF(AH63=0,0,IF(SUM($AC$98,$AG$98,$AH$27:AH57)&gt;3,0,1))</f>
        <v>0</v>
      </c>
      <c r="AJ63" s="556">
        <f>IF(AND(SUM($AI$98,$AC$98,$AG$98)=3,AI63=1,SUM($AI$27:AI57)=0),1,0)</f>
        <v>0</v>
      </c>
      <c r="AK63" s="556"/>
      <c r="AM63" s="556">
        <f>IF(OR(ISTEXT(V63)=TRUE(),V63=0),0,IF(AND(V63&gt;4.9,SUM($AM$27:AM57)&lt;4),1,0))</f>
        <v>0</v>
      </c>
      <c r="AN63" s="556">
        <f>IF(OR(V63=0,ISTEXT(V63)=TRUE(),V63&lt;5),0,V63)</f>
        <v>0</v>
      </c>
      <c r="AO63" s="556">
        <f>IF($AM$98=4,0,IF(SUM($AM$98,$AO$27:AO57)=4,0,IF(MAX($AN$27:$AN$93)=AN63,1,0)))</f>
        <v>0</v>
      </c>
      <c r="AP63" s="556">
        <f>IF($AN$98&gt;2,0,IF(AND(LARGE($AN$27:$AN$93,2)&lt;24.1,AO63=1),1,IF(AND((LARGE($AN$27:$AN$93,2))=AN63,$AM$98=2,AN63&gt;24),1,0)))</f>
        <v>0</v>
      </c>
      <c r="AQ63" s="556">
        <f>IF(AND($AM$98=1,AN63&gt;0),1,0)</f>
        <v>0</v>
      </c>
      <c r="AS63" s="556">
        <f>IF(AND($AN$98&gt;4,V63&gt;4.9,SUM(AM63,AO63:AQ63)=0),1,0)</f>
        <v>0</v>
      </c>
      <c r="AT63" s="556">
        <f>IF(AND($AN$98&gt;4,AS63=0),0,AN63-SUM(AM63,AO63:AQ63)*10)</f>
        <v>0</v>
      </c>
      <c r="AU63" s="556">
        <f>IF(SUM($AU$27:AU57)=1,0,IF(AT63=$AT$99,1,0))</f>
        <v>0</v>
      </c>
      <c r="AV63" s="556">
        <f>IF(AND($AN$98&gt;5,SUM(AM63,AO63:AQ63,AU63)=1),0,AN63-SUM(AM63,AO63:AQ63,AU63)*10)</f>
        <v>0</v>
      </c>
      <c r="AW63" s="556">
        <f>IF(SUM($AW$27:AW57)=1,0,IF(AV63=$AV$98,1,0))</f>
        <v>0</v>
      </c>
      <c r="AX63" s="556">
        <f>IF(AND($AN$98&gt;6,SUM(AM63,AO63:AQ63,AU63,AW63)=1),0,AN63-SUM(AM63,AO63:AQ63,AU63,AW63)*10)</f>
        <v>0</v>
      </c>
      <c r="AY63" s="556">
        <f>IF(SUM($AY$27:AY57)=1,0,IF(AX63=$AX$98,1,0))</f>
        <v>0</v>
      </c>
      <c r="AZ63" s="556">
        <f>IF(AND($AN$98&gt;7,SUM(AM63,AO63:AQ63,AU63,AW63,AY63)=1),0,AN63-SUM(AM63,AO63:AQ63,AU63,AW63,AY63)*10)</f>
        <v>0</v>
      </c>
      <c r="BA63" s="556">
        <f>IF(SUM($BA$27:BA57)=1,0,IF(AZ63=$AZ$98,1,0))</f>
        <v>0</v>
      </c>
      <c r="BB63" s="556">
        <f>IF($AN$98&lt;8,0,IF(AND($AN$98&gt;8,SUM(AM63,AO63:AQ63,AU63,AW63,AY63,BA63)=0),AN63,0))</f>
        <v>0</v>
      </c>
      <c r="BC63" s="556">
        <f>IF(SUM($BC$27:BC57)=1,0,IF(BB63=0,0,IF(BB63=$BB$98,1,0)))</f>
        <v>0</v>
      </c>
      <c r="BD63" s="235" t="str">
        <f t="shared" ref="BD63:BO63" si="6">IF(I63=0,"",IF(I63="A",1,IF(I63="B",2,IF(I63="C",3,FALSE()))))</f>
        <v/>
      </c>
      <c r="BE63" s="234" t="str">
        <f t="shared" si="6"/>
        <v/>
      </c>
      <c r="BF63" s="232" t="str">
        <f t="shared" si="6"/>
        <v/>
      </c>
      <c r="BG63" s="235" t="str">
        <f t="shared" si="6"/>
        <v/>
      </c>
      <c r="BH63" s="234" t="str">
        <f t="shared" si="6"/>
        <v/>
      </c>
      <c r="BI63" s="232" t="str">
        <f t="shared" si="6"/>
        <v/>
      </c>
      <c r="BJ63" s="235" t="b">
        <f t="shared" si="6"/>
        <v>0</v>
      </c>
      <c r="BK63" s="234" t="str">
        <f t="shared" si="6"/>
        <v/>
      </c>
      <c r="BL63" s="232" t="str">
        <f t="shared" si="6"/>
        <v/>
      </c>
      <c r="BM63" s="235" t="b">
        <f t="shared" si="6"/>
        <v>0</v>
      </c>
      <c r="BN63" s="234" t="str">
        <f t="shared" si="6"/>
        <v/>
      </c>
      <c r="BO63" s="232" t="str">
        <f t="shared" si="6"/>
        <v/>
      </c>
      <c r="BP63" s="233">
        <f>COUNTIF(BD63:BO63,1)</f>
        <v>0</v>
      </c>
      <c r="BQ63" s="232">
        <f>COUNTIF(BD63:BO63,2)</f>
        <v>0</v>
      </c>
      <c r="BR63" s="232">
        <f>COUNTIF(BD63:BO63,3)</f>
        <v>0</v>
      </c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2"/>
      <c r="CN63" s="232"/>
      <c r="CO63" s="232"/>
      <c r="CP63" s="232"/>
    </row>
    <row r="64" spans="1:94" ht="14.85" customHeight="1">
      <c r="A64" s="245" t="s">
        <v>18008</v>
      </c>
      <c r="B64" s="248"/>
      <c r="C64" s="248"/>
      <c r="D64" s="659" t="s">
        <v>18098</v>
      </c>
      <c r="E64" s="659"/>
      <c r="F64" s="241"/>
      <c r="G64" s="285" t="s">
        <v>18</v>
      </c>
      <c r="H64" s="239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201"/>
      <c r="V64" s="222"/>
      <c r="W64" s="246"/>
      <c r="X64" s="546"/>
      <c r="Y64" s="546"/>
      <c r="Z64" s="546"/>
      <c r="AB64" s="557"/>
      <c r="AC64" s="557"/>
      <c r="AD64" s="557"/>
      <c r="AE64" s="557"/>
      <c r="AF64" s="557"/>
      <c r="AG64" s="557"/>
      <c r="AH64" s="557"/>
      <c r="AI64" s="557"/>
      <c r="AJ64" s="557"/>
      <c r="AK64" s="557"/>
      <c r="AM64" s="557"/>
      <c r="AN64" s="557"/>
      <c r="AO64" s="557"/>
      <c r="AP64" s="557"/>
      <c r="AQ64" s="557"/>
      <c r="AS64" s="557"/>
      <c r="AT64" s="557"/>
      <c r="AU64" s="557"/>
      <c r="AV64" s="557"/>
      <c r="AW64" s="557"/>
      <c r="AX64" s="557"/>
      <c r="AY64" s="557"/>
      <c r="AZ64" s="557"/>
      <c r="BA64" s="557"/>
      <c r="BB64" s="557"/>
      <c r="BC64" s="557"/>
      <c r="BD64" s="235"/>
      <c r="BE64" s="234"/>
      <c r="BF64" s="232"/>
      <c r="BG64" s="235"/>
      <c r="BH64" s="234"/>
      <c r="BI64" s="232"/>
      <c r="BJ64" s="235"/>
      <c r="BK64" s="234"/>
      <c r="BL64" s="232"/>
      <c r="BM64" s="235"/>
      <c r="BN64" s="234"/>
      <c r="BO64" s="232"/>
      <c r="BP64" s="233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</row>
    <row r="65" spans="1:94" ht="14.85" customHeight="1">
      <c r="A65" s="245"/>
      <c r="B65" s="244"/>
      <c r="C65" s="244"/>
      <c r="D65" s="243"/>
      <c r="E65" s="242"/>
      <c r="F65" s="241"/>
      <c r="G65" s="285"/>
      <c r="H65" s="239" t="s">
        <v>18089</v>
      </c>
      <c r="I65" s="671"/>
      <c r="J65" s="669"/>
      <c r="K65" s="369"/>
      <c r="L65" s="671"/>
      <c r="M65" s="669"/>
      <c r="N65" s="369"/>
      <c r="O65" s="671"/>
      <c r="P65" s="669" t="s">
        <v>17960</v>
      </c>
      <c r="Q65" s="369"/>
      <c r="R65" s="671"/>
      <c r="S65" s="669"/>
      <c r="T65" s="369"/>
      <c r="U65" s="201"/>
      <c r="V65" s="222"/>
      <c r="W65" s="246"/>
      <c r="X65" s="546"/>
      <c r="Y65" s="546"/>
      <c r="Z65" s="546"/>
      <c r="AB65" s="557"/>
      <c r="AC65" s="557"/>
      <c r="AD65" s="557"/>
      <c r="AE65" s="557"/>
      <c r="AF65" s="557"/>
      <c r="AG65" s="557"/>
      <c r="AH65" s="557"/>
      <c r="AI65" s="557"/>
      <c r="AJ65" s="557"/>
      <c r="AK65" s="557"/>
      <c r="AM65" s="557"/>
      <c r="AN65" s="557"/>
      <c r="AO65" s="557"/>
      <c r="AP65" s="557"/>
      <c r="AQ65" s="557"/>
      <c r="AS65" s="557"/>
      <c r="AT65" s="557"/>
      <c r="AU65" s="557"/>
      <c r="AV65" s="557"/>
      <c r="AW65" s="557"/>
      <c r="AX65" s="557"/>
      <c r="AY65" s="557"/>
      <c r="AZ65" s="557"/>
      <c r="BA65" s="557"/>
      <c r="BB65" s="557"/>
      <c r="BC65" s="557"/>
      <c r="BD65" s="290"/>
      <c r="BE65" s="289"/>
      <c r="BF65" s="287"/>
      <c r="BG65" s="290"/>
      <c r="BH65" s="289"/>
      <c r="BI65" s="287"/>
      <c r="BJ65" s="290"/>
      <c r="BK65" s="289"/>
      <c r="BL65" s="287"/>
      <c r="BM65" s="290"/>
      <c r="BN65" s="289"/>
      <c r="BO65" s="287"/>
      <c r="BP65" s="288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ht="14.85" customHeight="1" thickBot="1">
      <c r="A66" s="267"/>
      <c r="B66" s="266"/>
      <c r="C66" s="266"/>
      <c r="D66" s="265"/>
      <c r="E66" s="264"/>
      <c r="F66" s="227"/>
      <c r="G66" s="284"/>
      <c r="H66" s="225"/>
      <c r="I66" s="672"/>
      <c r="J66" s="670"/>
      <c r="K66" s="369"/>
      <c r="L66" s="672"/>
      <c r="M66" s="670"/>
      <c r="N66" s="369"/>
      <c r="O66" s="672"/>
      <c r="P66" s="670"/>
      <c r="Q66" s="369"/>
      <c r="R66" s="672"/>
      <c r="S66" s="670"/>
      <c r="T66" s="369"/>
      <c r="U66" s="263"/>
      <c r="V66" s="262"/>
      <c r="W66" s="261"/>
      <c r="X66" s="566"/>
      <c r="Y66" s="566"/>
      <c r="Z66" s="566"/>
      <c r="AB66" s="558"/>
      <c r="AC66" s="558"/>
      <c r="AD66" s="558"/>
      <c r="AE66" s="558"/>
      <c r="AF66" s="558"/>
      <c r="AG66" s="558"/>
      <c r="AH66" s="558"/>
      <c r="AI66" s="558"/>
      <c r="AJ66" s="558"/>
      <c r="AK66" s="558"/>
      <c r="AM66" s="558"/>
      <c r="AN66" s="558"/>
      <c r="AO66" s="558"/>
      <c r="AP66" s="558"/>
      <c r="AQ66" s="558"/>
      <c r="AS66" s="558"/>
      <c r="AT66" s="558"/>
      <c r="AU66" s="558"/>
      <c r="AV66" s="558"/>
      <c r="AW66" s="558"/>
      <c r="AX66" s="558"/>
      <c r="AY66" s="558"/>
      <c r="AZ66" s="558"/>
      <c r="BA66" s="558"/>
      <c r="BB66" s="558"/>
      <c r="BC66" s="558"/>
      <c r="BD66" s="221"/>
      <c r="BE66" s="220"/>
      <c r="BF66" s="218"/>
      <c r="BG66" s="221"/>
      <c r="BH66" s="220"/>
      <c r="BI66" s="218"/>
      <c r="BJ66" s="221"/>
      <c r="BK66" s="220"/>
      <c r="BL66" s="218"/>
      <c r="BM66" s="221"/>
      <c r="BN66" s="220"/>
      <c r="BO66" s="218"/>
      <c r="BP66" s="219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</row>
    <row r="67" spans="1:94" ht="14.85" customHeight="1">
      <c r="A67" s="283"/>
      <c r="B67" s="282"/>
      <c r="C67" s="282"/>
      <c r="D67" s="281"/>
      <c r="E67" s="280"/>
      <c r="F67" s="275"/>
      <c r="G67" s="286"/>
      <c r="H67" s="273" t="s">
        <v>18093</v>
      </c>
      <c r="I67" s="661"/>
      <c r="J67" s="654"/>
      <c r="K67" s="367"/>
      <c r="L67" s="661"/>
      <c r="M67" s="654"/>
      <c r="N67" s="367"/>
      <c r="O67" s="661"/>
      <c r="P67" s="654"/>
      <c r="Q67" s="367"/>
      <c r="R67" s="661"/>
      <c r="S67" s="654"/>
      <c r="T67" s="367"/>
      <c r="U67" s="272" t="str">
        <f>IF($L$4=0,"",IF(COUNTA(I67:T68)=W69,"",IF(AND(COUNTA(I67:T68)=0,V69=0),"","Nb.prel")))</f>
        <v/>
      </c>
      <c r="V67" s="271"/>
      <c r="W67" s="270"/>
      <c r="X67" s="565"/>
      <c r="Y67" s="565"/>
      <c r="Z67" s="565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M67" s="551"/>
      <c r="AN67" s="551"/>
      <c r="AO67" s="551"/>
      <c r="AP67" s="551"/>
      <c r="AQ67" s="551"/>
      <c r="AS67" s="551"/>
      <c r="AT67" s="551"/>
      <c r="AU67" s="551"/>
      <c r="AV67" s="551"/>
      <c r="AW67" s="551"/>
      <c r="AX67" s="551"/>
      <c r="AY67" s="551"/>
      <c r="AZ67" s="551"/>
      <c r="BA67" s="551"/>
      <c r="BB67" s="551"/>
      <c r="BC67" s="551"/>
      <c r="BD67" s="259">
        <f>COUNTIF(I67:K67,"&gt;0")</f>
        <v>0</v>
      </c>
      <c r="BE67" s="258"/>
      <c r="BF67" s="256"/>
      <c r="BG67" s="259">
        <f>COUNTIF(L67:N67,"&gt;0")</f>
        <v>0</v>
      </c>
      <c r="BH67" s="258"/>
      <c r="BI67" s="256"/>
      <c r="BJ67" s="259">
        <f>COUNTIF(O67:Q67,"&gt;0")</f>
        <v>0</v>
      </c>
      <c r="BK67" s="258"/>
      <c r="BL67" s="256"/>
      <c r="BM67" s="259">
        <f>COUNTIF(R67:T67,"&gt;0")</f>
        <v>0</v>
      </c>
      <c r="BN67" s="258"/>
      <c r="BO67" s="256"/>
      <c r="BP67" s="257"/>
      <c r="BQ67" s="256"/>
      <c r="BR67" s="256"/>
      <c r="BS67" s="256">
        <f>COUNTIF(I67:T67,1)</f>
        <v>0</v>
      </c>
      <c r="BT67" s="256">
        <f>COUNTIF(I67:T67,2)</f>
        <v>0</v>
      </c>
      <c r="BU67" s="256">
        <f>COUNTIF(I67:T67,3)</f>
        <v>0</v>
      </c>
      <c r="BV67" s="256">
        <f>COUNTIF(I67:T67,4)</f>
        <v>0</v>
      </c>
      <c r="BW67" s="256">
        <f>COUNTIF(I67:T67,5)</f>
        <v>0</v>
      </c>
      <c r="BX67" s="256">
        <f>COUNTIF(I67:T67,6)</f>
        <v>0</v>
      </c>
      <c r="BY67" s="256">
        <f>COUNTIF(I67:T67,7)</f>
        <v>0</v>
      </c>
      <c r="BZ67" s="256">
        <f>COUNTIF(I67:T67,8)</f>
        <v>0</v>
      </c>
      <c r="CA67" s="256">
        <f>COUNTIF(I67:T67,9)</f>
        <v>0</v>
      </c>
      <c r="CB67" s="256">
        <f>COUNTIF(I67:T67,10)</f>
        <v>0</v>
      </c>
      <c r="CC67" s="256">
        <f>COUNTIF(I67:T67,11)</f>
        <v>0</v>
      </c>
      <c r="CD67" s="256">
        <f>COUNTIF(I67:T67,12)</f>
        <v>0</v>
      </c>
      <c r="CE67" s="256">
        <f>IF(BS67=0,0,HLOOKUP(1,$I$68:$T$73,3,FALSE()))</f>
        <v>0</v>
      </c>
      <c r="CF67" s="256">
        <f>IF(BT67=0,0,HLOOKUP(2,$I$68:$T$73,3,FALSE()))</f>
        <v>0</v>
      </c>
      <c r="CG67" s="256">
        <f>IF(BU67=0,0,HLOOKUP(3,$I$68:$T$73,3,FALSE()))</f>
        <v>0</v>
      </c>
      <c r="CH67" s="256">
        <f>IF(BV67=0,0,HLOOKUP(4,$I$68:$T$73,3,FALSE()))</f>
        <v>0</v>
      </c>
      <c r="CI67" s="256">
        <f>IF(BW67=0,0,HLOOKUP(5,$I$68:$T$73,3,FALSE()))</f>
        <v>0</v>
      </c>
      <c r="CJ67" s="256">
        <f>IF(BX67=0,0,HLOOKUP(6,$I$68:$T$73,3,FALSE()))</f>
        <v>0</v>
      </c>
      <c r="CK67" s="256">
        <f>IF(BY67=0,0,HLOOKUP(7,$I$68:$T$73,3,FALSE()))</f>
        <v>0</v>
      </c>
      <c r="CL67" s="256">
        <f>IF(BZ67=0,0,HLOOKUP(8,$I$68:$T$73,3,FALSE()))</f>
        <v>0</v>
      </c>
      <c r="CM67" s="256">
        <f>IF(CA67=0,0,HLOOKUP(9,$I$68:$T$73,3,FALSE()))</f>
        <v>0</v>
      </c>
      <c r="CN67" s="256">
        <f>IF(CB67=0,0,HLOOKUP(10,$I$68:$T$73,3,FALSE()))</f>
        <v>0</v>
      </c>
      <c r="CO67" s="256">
        <f>IF(CC67=0,0,HLOOKUP(11,$I$68:$T$73,3,FALSE()))</f>
        <v>0</v>
      </c>
      <c r="CP67" s="256">
        <f>IF(CD67=0,0,HLOOKUP(12,$I$68:$T$73,3,FALSE()))</f>
        <v>0</v>
      </c>
    </row>
    <row r="68" spans="1:94" ht="14.85" customHeight="1">
      <c r="A68" s="255" t="s">
        <v>18009</v>
      </c>
      <c r="B68" s="248"/>
      <c r="C68" s="248"/>
      <c r="D68" s="659"/>
      <c r="E68" s="659"/>
      <c r="F68" s="241"/>
      <c r="G68" s="285"/>
      <c r="H68" s="254"/>
      <c r="I68" s="662"/>
      <c r="J68" s="655"/>
      <c r="K68" s="368"/>
      <c r="L68" s="662"/>
      <c r="M68" s="655"/>
      <c r="N68" s="368"/>
      <c r="O68" s="662"/>
      <c r="P68" s="655"/>
      <c r="Q68" s="368"/>
      <c r="R68" s="662"/>
      <c r="S68" s="655"/>
      <c r="T68" s="368"/>
      <c r="U68" s="201"/>
      <c r="V68" s="269"/>
      <c r="W68" s="246"/>
      <c r="X68" s="546"/>
      <c r="Y68" s="546"/>
      <c r="Z68" s="546"/>
      <c r="AB68" s="557"/>
      <c r="AC68" s="557"/>
      <c r="AD68" s="557"/>
      <c r="AE68" s="557"/>
      <c r="AF68" s="557"/>
      <c r="AG68" s="557"/>
      <c r="AH68" s="557"/>
      <c r="AI68" s="557"/>
      <c r="AJ68" s="557"/>
      <c r="AK68" s="557"/>
      <c r="AM68" s="557"/>
      <c r="AN68" s="557"/>
      <c r="AO68" s="557"/>
      <c r="AP68" s="557"/>
      <c r="AQ68" s="557"/>
      <c r="AS68" s="557"/>
      <c r="AT68" s="557"/>
      <c r="AU68" s="557"/>
      <c r="AV68" s="557"/>
      <c r="AW68" s="557"/>
      <c r="AX68" s="557"/>
      <c r="AY68" s="557"/>
      <c r="AZ68" s="557"/>
      <c r="BA68" s="557"/>
      <c r="BB68" s="557"/>
      <c r="BC68" s="557"/>
      <c r="BD68" s="252"/>
      <c r="BE68" s="251"/>
      <c r="BF68" s="249"/>
      <c r="BG68" s="252"/>
      <c r="BH68" s="251"/>
      <c r="BI68" s="249"/>
      <c r="BJ68" s="252"/>
      <c r="BK68" s="251"/>
      <c r="BL68" s="249"/>
      <c r="BM68" s="252"/>
      <c r="BN68" s="251"/>
      <c r="BO68" s="249"/>
      <c r="BP68" s="250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</row>
    <row r="69" spans="1:94" ht="14.85" customHeight="1">
      <c r="A69" s="245" t="s">
        <v>18011</v>
      </c>
      <c r="B69" s="248"/>
      <c r="C69" s="248"/>
      <c r="D69" s="659" t="s">
        <v>18091</v>
      </c>
      <c r="E69" s="659"/>
      <c r="F69" s="241"/>
      <c r="G69" s="285"/>
      <c r="H69" s="239" t="s">
        <v>18087</v>
      </c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201" t="str">
        <f>IF($L$4=0,"",IF(COUNTBLANK(I67:T67)=12,"",IF(COUNTBLANK(I69:T69)=12,"% rec.",IF(OR(COUNTIF(I69:T69,"x")&gt;1,COUNTIF(I69:T69,"xx")&gt;1,COUNTIF(I69:T69,"xxx")&gt;1,COUNTIF(I69:T69,"xxxx")&gt;1),"% rec.",""))))</f>
        <v/>
      </c>
      <c r="V69" s="268"/>
      <c r="W69" s="206" t="str">
        <f>IF(V69=0,"",SUM(X69:Z69))</f>
        <v/>
      </c>
      <c r="X69" s="546" t="str">
        <f>IF(V69=0,"",IF(SUM(AB69,AD69,AE69,AF69,AG69,AI69,AJ69)=0,"",(IF(MAX($AC$27:$AC$93)&lt;1,SUM(AB69,AD69,AE69,AF69,AG69,AI69,AJ69),IF(OR(V69=0,AB69=0),"",IF(AB69=1,SUM(AB69,AD69,AE69,AF69,AG69,AI69),0))))))</f>
        <v/>
      </c>
      <c r="Y69" s="546" t="str">
        <f>IF(OR(V69=0,SUM(AM69,AO69,AP69,AQ69)=0,V69="P"),"",SUM(AM69,AO69,AP69,AQ69))</f>
        <v/>
      </c>
      <c r="Z69" s="546" t="str">
        <f>IF(OR(V69=0,SUM(AS69,AU69,AW69,AY69,BA69,BC69)=0),"",IF(SUM(AU69,AW69,AY69,BA69)=0,"",SUM(AU69,AW69,AY69,BA69)))</f>
        <v/>
      </c>
      <c r="AB69" s="556">
        <f>IF(V69=0,0,IF(AND(V69&lt;5,SUM($AB$27:AB63)&lt;4),1,0))</f>
        <v>0</v>
      </c>
      <c r="AC69" s="556">
        <f>IF(OR(V69=0,V69&gt;4.9),0,V69)</f>
        <v>0</v>
      </c>
      <c r="AD69" s="556">
        <f>IF(AC69&lt;1,0,IF($AB$98=4,0,IF(SUM($AB$98,$AD$27:AD63)=4,0,IF(MAX($AC$27:$AC$93)=AC69,1,0))))</f>
        <v>0</v>
      </c>
      <c r="AE69" s="556">
        <f>IF($AB$98=4,0,IF(SUM($AB$98,$AD$98,$AE$27:AE63)=4,0,IF(AND($AC$99=1,AC69&gt;0.99),1,IF(AND($AC$98=1,$AC$99=1,AD69=0,AC69&gt;0),1,IF(AND($AC$99=2,AD69=0,AC69&gt;0.99),1,0)))))</f>
        <v>0</v>
      </c>
      <c r="AF69" s="556">
        <f>IF(AND($AB$98=1,AC69&gt;0.99),1,0)</f>
        <v>0</v>
      </c>
      <c r="AG69" s="556">
        <f>IF($AN$98&lt;9,0,IF($AC$99=0,BC69))</f>
        <v>0</v>
      </c>
      <c r="AH69" s="556">
        <f>IF(AND(MAX($AC$27:$AC$93)&lt;1,AN69&gt;4.9),1,0)</f>
        <v>0</v>
      </c>
      <c r="AI69" s="556">
        <f>IF(AH69=0,0,IF(SUM($AC$98,$AG$98,$AH$27:AH63)&gt;3,0,1))</f>
        <v>0</v>
      </c>
      <c r="AJ69" s="556">
        <f>IF(AND(SUM($AI$98,$AC$98,$AG$98)=3,AI69=1,SUM($AI$27:AI63)=0),1,0)</f>
        <v>0</v>
      </c>
      <c r="AK69" s="556"/>
      <c r="AM69" s="556">
        <f>IF(OR(ISTEXT(V69)=TRUE(),V69=0),0,IF(AND(V69&gt;4.9,SUM($AM$27:AM63)&lt;4),1,0))</f>
        <v>0</v>
      </c>
      <c r="AN69" s="556">
        <f>IF(OR(V69=0,ISTEXT(V69)=TRUE(),V69&lt;5),0,V69)</f>
        <v>0</v>
      </c>
      <c r="AO69" s="556">
        <f>IF($AM$98=4,0,IF(SUM($AM$98,$AO$27:AO63)=4,0,IF(MAX($AN$27:$AN$93)=AN69,1,0)))</f>
        <v>0</v>
      </c>
      <c r="AP69" s="556">
        <f>IF($AN$98&gt;2,0,IF(AND(LARGE($AN$27:$AN$93,2)&lt;24.1,AO69=1),1,IF(AND((LARGE($AN$27:$AN$93,2))=AN69,$AM$98=2,AN69&gt;24),1,0)))</f>
        <v>0</v>
      </c>
      <c r="AQ69" s="556">
        <f>IF(AND($AM$98=1,AN69&gt;0),1,0)</f>
        <v>0</v>
      </c>
      <c r="AS69" s="556">
        <f>IF(AND($AN$98&gt;4,V69&gt;4.9,SUM(AM69,AO69:AQ69)=0),1,0)</f>
        <v>0</v>
      </c>
      <c r="AT69" s="556">
        <f>IF(AND($AN$98&gt;4,AS69=0),0,AN69-SUM(AM69,AO69:AQ69)*10)</f>
        <v>0</v>
      </c>
      <c r="AU69" s="556">
        <f>IF(SUM($AU$27:AU63)=1,0,IF(AT69=$AT$99,1,0))</f>
        <v>0</v>
      </c>
      <c r="AV69" s="556">
        <f>IF(AND($AN$98&gt;5,SUM(AM69,AO69:AQ69,AU69)=1),0,AN69-SUM(AM69,AO69:AQ69,AU69)*10)</f>
        <v>0</v>
      </c>
      <c r="AW69" s="556">
        <f>IF(SUM($AW$27:AW63)=1,0,IF(AV69=$AV$98,1,0))</f>
        <v>0</v>
      </c>
      <c r="AX69" s="556">
        <f>IF(AND($AN$98&gt;6,SUM(AM69,AO69:AQ69,AU69,AW69)=1),0,AN69-SUM(AM69,AO69:AQ69,AU69,AW69)*10)</f>
        <v>0</v>
      </c>
      <c r="AY69" s="556">
        <f>IF(SUM($AY$27:AY63)=1,0,IF(AX69=$AX$98,1,0))</f>
        <v>0</v>
      </c>
      <c r="AZ69" s="556">
        <f>IF(AND($AN$98&gt;7,SUM(AM69,AO69:AQ69,AU69,AW69,AY69)=1),0,AN69-SUM(AM69,AO69:AQ69,AU69,AW69,AY69)*10)</f>
        <v>0</v>
      </c>
      <c r="BA69" s="556">
        <f>IF(SUM($BA$27:BA63)=1,0,IF(AZ69=$AZ$98,1,0))</f>
        <v>0</v>
      </c>
      <c r="BB69" s="556">
        <f>IF($AN$98&lt;8,0,IF(AND($AN$98&gt;8,SUM(AM69,AO69:AQ69,AU69,AW69,AY69,BA69)=0),AN69,0))</f>
        <v>0</v>
      </c>
      <c r="BC69" s="556">
        <f>IF(SUM($BC$27:BC63)=1,0,IF(BB69=0,0,IF(BB69=$BB$98,1,0)))</f>
        <v>0</v>
      </c>
      <c r="BD69" s="235" t="str">
        <f t="shared" ref="BD69:BO69" si="7">IF(I69=0,"",IF(I69="A",1,IF(I69="B",2,IF(I69="C",3,FALSE()))))</f>
        <v/>
      </c>
      <c r="BE69" s="234" t="str">
        <f t="shared" si="7"/>
        <v/>
      </c>
      <c r="BF69" s="232" t="str">
        <f t="shared" si="7"/>
        <v/>
      </c>
      <c r="BG69" s="235" t="str">
        <f t="shared" si="7"/>
        <v/>
      </c>
      <c r="BH69" s="234" t="str">
        <f t="shared" si="7"/>
        <v/>
      </c>
      <c r="BI69" s="232" t="str">
        <f t="shared" si="7"/>
        <v/>
      </c>
      <c r="BJ69" s="235" t="str">
        <f t="shared" si="7"/>
        <v/>
      </c>
      <c r="BK69" s="234" t="str">
        <f t="shared" si="7"/>
        <v/>
      </c>
      <c r="BL69" s="232" t="str">
        <f t="shared" si="7"/>
        <v/>
      </c>
      <c r="BM69" s="235" t="str">
        <f t="shared" si="7"/>
        <v/>
      </c>
      <c r="BN69" s="234" t="str">
        <f t="shared" si="7"/>
        <v/>
      </c>
      <c r="BO69" s="232" t="str">
        <f t="shared" si="7"/>
        <v/>
      </c>
      <c r="BP69" s="233">
        <f>COUNTIF(BD69:BO69,1)</f>
        <v>0</v>
      </c>
      <c r="BQ69" s="232">
        <f>COUNTIF(BD69:BO69,2)</f>
        <v>0</v>
      </c>
      <c r="BR69" s="232">
        <f>COUNTIF(BD69:BO69,3)</f>
        <v>0</v>
      </c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2"/>
      <c r="CN69" s="232"/>
      <c r="CO69" s="232"/>
      <c r="CP69" s="232"/>
    </row>
    <row r="70" spans="1:94" ht="14.85" customHeight="1">
      <c r="A70" s="245"/>
      <c r="B70" s="248"/>
      <c r="C70" s="248"/>
      <c r="D70" s="260"/>
      <c r="E70" s="197"/>
      <c r="F70" s="241"/>
      <c r="G70" s="285" t="s">
        <v>21</v>
      </c>
      <c r="H70" s="239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201"/>
      <c r="V70" s="222"/>
      <c r="W70" s="246"/>
      <c r="X70" s="546"/>
      <c r="Y70" s="546"/>
      <c r="Z70" s="546"/>
      <c r="AB70" s="557"/>
      <c r="AC70" s="557"/>
      <c r="AD70" s="557"/>
      <c r="AE70" s="557"/>
      <c r="AF70" s="557"/>
      <c r="AG70" s="557"/>
      <c r="AH70" s="557"/>
      <c r="AI70" s="557"/>
      <c r="AJ70" s="557"/>
      <c r="AK70" s="557"/>
      <c r="AM70" s="557"/>
      <c r="AN70" s="557"/>
      <c r="AO70" s="557"/>
      <c r="AP70" s="557"/>
      <c r="AQ70" s="557"/>
      <c r="AS70" s="557"/>
      <c r="AT70" s="557"/>
      <c r="AU70" s="557"/>
      <c r="AV70" s="557"/>
      <c r="AW70" s="557"/>
      <c r="AX70" s="557"/>
      <c r="AY70" s="557"/>
      <c r="AZ70" s="557"/>
      <c r="BA70" s="557"/>
      <c r="BB70" s="557"/>
      <c r="BC70" s="557"/>
      <c r="BD70" s="235"/>
      <c r="BE70" s="234"/>
      <c r="BF70" s="232"/>
      <c r="BG70" s="235"/>
      <c r="BH70" s="234"/>
      <c r="BI70" s="232"/>
      <c r="BJ70" s="235"/>
      <c r="BK70" s="234"/>
      <c r="BL70" s="232"/>
      <c r="BM70" s="235"/>
      <c r="BN70" s="234"/>
      <c r="BO70" s="232"/>
      <c r="BP70" s="233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2"/>
      <c r="CN70" s="232"/>
      <c r="CO70" s="232"/>
      <c r="CP70" s="232"/>
    </row>
    <row r="71" spans="1:94" ht="14.85" customHeight="1">
      <c r="A71" s="245"/>
      <c r="B71" s="244"/>
      <c r="C71" s="244"/>
      <c r="D71" s="243"/>
      <c r="E71" s="242"/>
      <c r="F71" s="241"/>
      <c r="G71" s="285"/>
      <c r="H71" s="239" t="s">
        <v>18089</v>
      </c>
      <c r="I71" s="671"/>
      <c r="J71" s="669"/>
      <c r="K71" s="369"/>
      <c r="L71" s="671"/>
      <c r="M71" s="669"/>
      <c r="N71" s="369"/>
      <c r="O71" s="671"/>
      <c r="P71" s="669"/>
      <c r="Q71" s="369"/>
      <c r="R71" s="671"/>
      <c r="S71" s="669"/>
      <c r="T71" s="369"/>
      <c r="U71" s="201"/>
      <c r="V71" s="222"/>
      <c r="W71" s="246"/>
      <c r="X71" s="546"/>
      <c r="Y71" s="546"/>
      <c r="Z71" s="546"/>
      <c r="AB71" s="557"/>
      <c r="AC71" s="557"/>
      <c r="AD71" s="557"/>
      <c r="AE71" s="557"/>
      <c r="AF71" s="557"/>
      <c r="AG71" s="557"/>
      <c r="AH71" s="557"/>
      <c r="AI71" s="557"/>
      <c r="AJ71" s="557"/>
      <c r="AK71" s="557"/>
      <c r="AM71" s="557"/>
      <c r="AN71" s="557"/>
      <c r="AO71" s="557"/>
      <c r="AP71" s="557"/>
      <c r="AQ71" s="557"/>
      <c r="AS71" s="557"/>
      <c r="AT71" s="557"/>
      <c r="AU71" s="557"/>
      <c r="AV71" s="557"/>
      <c r="AW71" s="557"/>
      <c r="AX71" s="557"/>
      <c r="AY71" s="557"/>
      <c r="AZ71" s="557"/>
      <c r="BA71" s="557"/>
      <c r="BB71" s="557"/>
      <c r="BC71" s="557"/>
      <c r="BD71" s="235"/>
      <c r="BE71" s="234"/>
      <c r="BF71" s="232"/>
      <c r="BG71" s="235"/>
      <c r="BH71" s="234"/>
      <c r="BI71" s="232"/>
      <c r="BJ71" s="235"/>
      <c r="BK71" s="234"/>
      <c r="BL71" s="232"/>
      <c r="BM71" s="235"/>
      <c r="BN71" s="234"/>
      <c r="BO71" s="232"/>
      <c r="BP71" s="233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2"/>
      <c r="CL71" s="232"/>
      <c r="CM71" s="232"/>
      <c r="CN71" s="232"/>
      <c r="CO71" s="232"/>
      <c r="CP71" s="232"/>
    </row>
    <row r="72" spans="1:94" ht="14.85" customHeight="1" thickBot="1">
      <c r="A72" s="267"/>
      <c r="B72" s="266"/>
      <c r="C72" s="266"/>
      <c r="D72" s="265"/>
      <c r="E72" s="264"/>
      <c r="F72" s="227"/>
      <c r="G72" s="284"/>
      <c r="H72" s="225"/>
      <c r="I72" s="672"/>
      <c r="J72" s="670"/>
      <c r="K72" s="369"/>
      <c r="L72" s="672"/>
      <c r="M72" s="670"/>
      <c r="N72" s="369"/>
      <c r="O72" s="672"/>
      <c r="P72" s="670"/>
      <c r="Q72" s="369"/>
      <c r="R72" s="672"/>
      <c r="S72" s="670"/>
      <c r="T72" s="369"/>
      <c r="U72" s="263"/>
      <c r="V72" s="262"/>
      <c r="W72" s="261"/>
      <c r="X72" s="566"/>
      <c r="Y72" s="566"/>
      <c r="Z72" s="566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M72" s="558"/>
      <c r="AN72" s="558"/>
      <c r="AO72" s="558"/>
      <c r="AP72" s="558"/>
      <c r="AQ72" s="558"/>
      <c r="AS72" s="558"/>
      <c r="AT72" s="558"/>
      <c r="AU72" s="558"/>
      <c r="AV72" s="558"/>
      <c r="AW72" s="558"/>
      <c r="AX72" s="558"/>
      <c r="AY72" s="558"/>
      <c r="AZ72" s="558"/>
      <c r="BA72" s="558"/>
      <c r="BB72" s="558"/>
      <c r="BC72" s="558"/>
      <c r="BD72" s="221"/>
      <c r="BE72" s="220"/>
      <c r="BF72" s="218"/>
      <c r="BG72" s="221"/>
      <c r="BH72" s="220"/>
      <c r="BI72" s="218"/>
      <c r="BJ72" s="221"/>
      <c r="BK72" s="220"/>
      <c r="BL72" s="218"/>
      <c r="BM72" s="221"/>
      <c r="BN72" s="220"/>
      <c r="BO72" s="218"/>
      <c r="BP72" s="219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</row>
    <row r="73" spans="1:94" ht="14.85" customHeight="1">
      <c r="A73" s="283"/>
      <c r="B73" s="282"/>
      <c r="C73" s="282"/>
      <c r="D73" s="281"/>
      <c r="E73" s="280"/>
      <c r="F73" s="275"/>
      <c r="G73" s="286"/>
      <c r="H73" s="273" t="s">
        <v>18093</v>
      </c>
      <c r="I73" s="661"/>
      <c r="J73" s="654"/>
      <c r="K73" s="367"/>
      <c r="L73" s="661"/>
      <c r="M73" s="654"/>
      <c r="N73" s="367"/>
      <c r="O73" s="661"/>
      <c r="P73" s="654"/>
      <c r="Q73" s="367"/>
      <c r="R73" s="661"/>
      <c r="S73" s="654"/>
      <c r="T73" s="367"/>
      <c r="U73" s="272" t="str">
        <f>IF($L$4=0,"",IF(COUNTA(I73:T74)=W75,"",IF(AND(COUNTA(I73:T74)=0,V75=0),"","Nb.prel")))</f>
        <v/>
      </c>
      <c r="V73" s="271"/>
      <c r="W73" s="270"/>
      <c r="X73" s="565"/>
      <c r="Y73" s="565"/>
      <c r="Z73" s="565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M73" s="551"/>
      <c r="AN73" s="551"/>
      <c r="AO73" s="551"/>
      <c r="AP73" s="551"/>
      <c r="AQ73" s="551"/>
      <c r="AS73" s="551"/>
      <c r="AT73" s="551"/>
      <c r="AU73" s="551"/>
      <c r="AV73" s="551"/>
      <c r="AW73" s="551"/>
      <c r="AX73" s="551"/>
      <c r="AY73" s="551"/>
      <c r="AZ73" s="551"/>
      <c r="BA73" s="551"/>
      <c r="BB73" s="551"/>
      <c r="BC73" s="551"/>
      <c r="BD73" s="259">
        <f>COUNTIF(I73:K73,"&gt;0")</f>
        <v>0</v>
      </c>
      <c r="BE73" s="258"/>
      <c r="BF73" s="256"/>
      <c r="BG73" s="259">
        <f>COUNTIF(L73:N73,"&gt;0")</f>
        <v>0</v>
      </c>
      <c r="BH73" s="258"/>
      <c r="BI73" s="256"/>
      <c r="BJ73" s="259">
        <f>COUNTIF(O73:Q73,"&gt;0")</f>
        <v>0</v>
      </c>
      <c r="BK73" s="258"/>
      <c r="BL73" s="256"/>
      <c r="BM73" s="259">
        <f>COUNTIF(R73:T73,"&gt;0")</f>
        <v>0</v>
      </c>
      <c r="BN73" s="258"/>
      <c r="BO73" s="256"/>
      <c r="BP73" s="257"/>
      <c r="BQ73" s="256"/>
      <c r="BR73" s="256"/>
      <c r="BS73" s="256">
        <f>COUNTIF(I73:T73,1)</f>
        <v>0</v>
      </c>
      <c r="BT73" s="256">
        <f>COUNTIF(I73:T73,2)</f>
        <v>0</v>
      </c>
      <c r="BU73" s="256">
        <f>COUNTIF(I73:T73,3)</f>
        <v>0</v>
      </c>
      <c r="BV73" s="256">
        <f>COUNTIF(I73:T73,4)</f>
        <v>0</v>
      </c>
      <c r="BW73" s="256">
        <f>COUNTIF(I73:T73,5)</f>
        <v>0</v>
      </c>
      <c r="BX73" s="256">
        <f>COUNTIF(I73:T73,6)</f>
        <v>0</v>
      </c>
      <c r="BY73" s="256">
        <f>COUNTIF(I73:T73,7)</f>
        <v>0</v>
      </c>
      <c r="BZ73" s="256">
        <f>COUNTIF(I73:T73,8)</f>
        <v>0</v>
      </c>
      <c r="CA73" s="256">
        <f>COUNTIF(I73:T73,9)</f>
        <v>0</v>
      </c>
      <c r="CB73" s="256">
        <f>COUNTIF(I73:T73,10)</f>
        <v>0</v>
      </c>
      <c r="CC73" s="256">
        <f>COUNTIF(I73:T73,11)</f>
        <v>0</v>
      </c>
      <c r="CD73" s="256">
        <f>COUNTIF(I73:T73,12)</f>
        <v>0</v>
      </c>
      <c r="CE73" s="256">
        <f>IF(BS73=0,0,HLOOKUP(1,$I$74:$T$79,3,FALSE()))</f>
        <v>0</v>
      </c>
      <c r="CF73" s="256">
        <f>IF(BT73=0,0,HLOOKUP(2,$I$74:$T$79,3,FALSE()))</f>
        <v>0</v>
      </c>
      <c r="CG73" s="256">
        <f>IF(BU73=0,0,HLOOKUP(3,$I$74:$T$79,3,FALSE()))</f>
        <v>0</v>
      </c>
      <c r="CH73" s="256">
        <f>IF(BV73=0,0,HLOOKUP(4,$I$74:$T$79,3,FALSE()))</f>
        <v>0</v>
      </c>
      <c r="CI73" s="256">
        <f>IF(BW73=0,0,HLOOKUP(5,$I$74:$T$79,3,FALSE()))</f>
        <v>0</v>
      </c>
      <c r="CJ73" s="256">
        <f>IF(BX73=0,0,HLOOKUP(6,$I$74:$T$79,3,FALSE()))</f>
        <v>0</v>
      </c>
      <c r="CK73" s="256">
        <f>IF(BY73=0,0,HLOOKUP(7,$I$74:$T$79,3,FALSE()))</f>
        <v>0</v>
      </c>
      <c r="CL73" s="256">
        <f>IF(BZ73=0,0,HLOOKUP(8,$I$74:$T$79,3,FALSE()))</f>
        <v>0</v>
      </c>
      <c r="CM73" s="256">
        <f>IF(CA73=0,0,HLOOKUP(9,$I$74:$T$79,3,FALSE()))</f>
        <v>0</v>
      </c>
      <c r="CN73" s="256">
        <f>IF(CB73=0,0,HLOOKUP(10,$I$74:$T$79,3,FALSE()))</f>
        <v>0</v>
      </c>
      <c r="CO73" s="256">
        <f>IF(CC73=0,0,HLOOKUP(11,$I$74:$T$79,3,FALSE()))</f>
        <v>0</v>
      </c>
      <c r="CP73" s="256">
        <f>IF(CD73=0,0,HLOOKUP(12,$I$74:$T$79,3,FALSE()))</f>
        <v>0</v>
      </c>
    </row>
    <row r="74" spans="1:94" ht="14.85" customHeight="1">
      <c r="A74" s="255"/>
      <c r="B74" s="248"/>
      <c r="C74" s="248"/>
      <c r="D74" s="659"/>
      <c r="E74" s="659"/>
      <c r="F74" s="241"/>
      <c r="G74" s="285"/>
      <c r="H74" s="254"/>
      <c r="I74" s="662"/>
      <c r="J74" s="655"/>
      <c r="K74" s="368"/>
      <c r="L74" s="662"/>
      <c r="M74" s="655"/>
      <c r="N74" s="368"/>
      <c r="O74" s="662"/>
      <c r="P74" s="655"/>
      <c r="Q74" s="368"/>
      <c r="R74" s="662"/>
      <c r="S74" s="655"/>
      <c r="T74" s="368"/>
      <c r="U74" s="201"/>
      <c r="V74" s="269"/>
      <c r="W74" s="246"/>
      <c r="X74" s="546"/>
      <c r="Y74" s="546"/>
      <c r="Z74" s="546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M74" s="557"/>
      <c r="AN74" s="557"/>
      <c r="AO74" s="557"/>
      <c r="AP74" s="557"/>
      <c r="AQ74" s="557"/>
      <c r="AS74" s="557"/>
      <c r="AT74" s="557"/>
      <c r="AU74" s="557"/>
      <c r="AV74" s="557"/>
      <c r="AW74" s="557"/>
      <c r="AX74" s="557"/>
      <c r="AY74" s="557"/>
      <c r="AZ74" s="557"/>
      <c r="BA74" s="557"/>
      <c r="BB74" s="557"/>
      <c r="BC74" s="557"/>
      <c r="BD74" s="252"/>
      <c r="BE74" s="251"/>
      <c r="BF74" s="249"/>
      <c r="BG74" s="252"/>
      <c r="BH74" s="251"/>
      <c r="BI74" s="249"/>
      <c r="BJ74" s="252"/>
      <c r="BK74" s="251"/>
      <c r="BL74" s="249"/>
      <c r="BM74" s="252"/>
      <c r="BN74" s="251"/>
      <c r="BO74" s="249"/>
      <c r="BP74" s="250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</row>
    <row r="75" spans="1:94" ht="14.85" customHeight="1">
      <c r="A75" s="255" t="s">
        <v>18012</v>
      </c>
      <c r="B75" s="248"/>
      <c r="C75" s="248"/>
      <c r="D75" s="659" t="s">
        <v>18091</v>
      </c>
      <c r="E75" s="659"/>
      <c r="F75" s="241"/>
      <c r="G75" s="285"/>
      <c r="H75" s="239" t="s">
        <v>18087</v>
      </c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201" t="str">
        <f>IF($L$4=0,"",IF(COUNTBLANK(I73:T73)=12,"",IF(COUNTBLANK(I75:T75)=12,"% rec.",IF(OR(COUNTIF(I75:T75,"x")&gt;1,COUNTIF(I75:T75,"xx")&gt;1,COUNTIF(I75:T75,"xxx")&gt;1,COUNTIF(I75:T75,"xxxx")&gt;1),"% rec.",""))))</f>
        <v/>
      </c>
      <c r="V75" s="268"/>
      <c r="W75" s="206" t="str">
        <f>IF(V75=0,"",SUM(X75:Z75))</f>
        <v/>
      </c>
      <c r="X75" s="546" t="str">
        <f>IF(V75=0,"",IF(SUM(AB75,AD75,AE75,AF75,AG75,AI75,AJ75)=0,"",(IF(MAX($AC$27:$AC$93)&lt;1,SUM(AB75,AD75,AE75,AF75,AG75,AI75,AJ75),IF(OR(V75=0,AB75=0),"",IF(AB75=1,SUM(AB75,AD75,AE75,AF75,AG75,AI75),0))))))</f>
        <v/>
      </c>
      <c r="Y75" s="546" t="str">
        <f>IF(OR(V75=0,SUM(AM75,AO75,AP75,AQ75)=0,V75="P"),"",SUM(AM75,AO75,AP75,AQ75))</f>
        <v/>
      </c>
      <c r="Z75" s="546" t="str">
        <f>IF(OR(V75=0,SUM(AS75,AU75,AW75,AY75,BA75,BC75)=0),"",IF(SUM(AU75,AW75,AY75,BA75)=0,"",SUM(AU75,AW75,AY75,BA75)))</f>
        <v/>
      </c>
      <c r="AB75" s="556">
        <f>IF(V75=0,0,IF(AND(V75&lt;5,SUM($AB$27:AB69)&lt;4),1,0))</f>
        <v>0</v>
      </c>
      <c r="AC75" s="556">
        <f>IF(OR(V75=0,V75&gt;4.9),0,V75)</f>
        <v>0</v>
      </c>
      <c r="AD75" s="556">
        <f>IF(AC75&lt;1,0,IF($AB$98=4,0,IF(SUM($AB$98,$AD$27:AD69)=4,0,IF(MAX($AC$27:$AC$93)=AC75,1,0))))</f>
        <v>0</v>
      </c>
      <c r="AE75" s="556">
        <f>IF($AB$98=4,0,IF(SUM($AB$98,$AD$98,$AE$27:AE69)=4,0,IF(AND($AC$99=1,AC75&gt;0.99),1,IF(AND($AC$98=1,$AC$99=1,AD75=0,AC75&gt;0),1,IF(AND($AC$99=2,AD75=0,AC75&gt;0.99),1,0)))))</f>
        <v>0</v>
      </c>
      <c r="AF75" s="556">
        <f>IF(AND($AB$98=1,AC75&gt;0.99),1,0)</f>
        <v>0</v>
      </c>
      <c r="AG75" s="556">
        <f>IF($AN$98&lt;9,0,IF($AC$99=0,BC75))</f>
        <v>0</v>
      </c>
      <c r="AH75" s="556">
        <f>IF(AND(MAX($AC$27:$AC$93)&lt;1,AN75&gt;4.9),1,0)</f>
        <v>0</v>
      </c>
      <c r="AI75" s="556">
        <f>IF(AH75=0,0,IF(SUM($AC$98,$AG$98,$AH$27:AH69)&gt;3,0,1))</f>
        <v>0</v>
      </c>
      <c r="AJ75" s="556">
        <f>IF(AND(SUM($AI$98,$AC$98,$AG$98)=3,AI75=1,SUM($AI$27:AI69)=0),1,0)</f>
        <v>0</v>
      </c>
      <c r="AK75" s="556"/>
      <c r="AM75" s="556">
        <f>IF(OR(ISTEXT(V75)=TRUE(),V75=0),0,IF(AND(V75&gt;4.9,SUM($AM$27:AM69)&lt;4),1,0))</f>
        <v>0</v>
      </c>
      <c r="AN75" s="556">
        <f>IF(OR(V75=0,ISTEXT(V75)=TRUE(),V75&lt;5),0,V75)</f>
        <v>0</v>
      </c>
      <c r="AO75" s="556">
        <f>IF($AM$99=4,0,IF(SUM($AM$98,$AO$27:AO69)=4,0,IF(MAX($AN$27:$AN$93)=AN75,1,0)))</f>
        <v>0</v>
      </c>
      <c r="AP75" s="556">
        <f>IF($AN$98&gt;2,0,IF(AND(LARGE($AN$27:$AN$93,2)&lt;24.1,AO75=1),1,IF(AND((LARGE($AN$27:$AN$93,2))=AN75,$AM$98=2,AN75&gt;24),1,0)))</f>
        <v>0</v>
      </c>
      <c r="AQ75" s="556">
        <f>IF(AND($AM$98=1,AN75&gt;0),1,0)</f>
        <v>0</v>
      </c>
      <c r="AS75" s="556">
        <f>IF(AND($AN$98&gt;4,V75&gt;4.9,SUM(AM75,AO75:AQ75)=0),1,0)</f>
        <v>0</v>
      </c>
      <c r="AT75" s="556">
        <f>IF(AND($AN$98&gt;4,AS75=0),0,AN75-SUM(AM75,AO75:AQ75)*10)</f>
        <v>0</v>
      </c>
      <c r="AU75" s="556">
        <f>IF(SUM($AU$27:AU69)=1,0,IF(AT75=$AT$99,1,0))</f>
        <v>0</v>
      </c>
      <c r="AV75" s="556">
        <f>IF(AND($AN$98&gt;5,SUM(AM75,AO75:AQ75,AU75)=1),0,AN75-SUM(AM75,AO75:AQ75,AU75)*10)</f>
        <v>0</v>
      </c>
      <c r="AW75" s="556">
        <f>IF(SUM($AW$27:AW69)=1,0,IF(AV75=$AV$98,1,0))</f>
        <v>0</v>
      </c>
      <c r="AX75" s="556">
        <f>IF(AND($AN$98&gt;6,SUM(AM75,AO75:AQ75,AU75,AW75)=1),0,AN75-SUM(AM75,AO75:AQ75,AU75,AW75)*10)</f>
        <v>0</v>
      </c>
      <c r="AY75" s="556">
        <f>IF(SUM($AY$27:AY69)=1,0,IF(AX75=$AX$98,1,0))</f>
        <v>0</v>
      </c>
      <c r="AZ75" s="556">
        <f>IF(AND($AN$98&gt;7,SUM(AM75,AO75:AQ75,AU75,AW75,AY75)=1),0,AN75-SUM(AM75,AO75:AQ75,AU75,AW75,AY75)*10)</f>
        <v>0</v>
      </c>
      <c r="BA75" s="556">
        <f>IF(SUM($BA$27:BA69)=1,0,IF(AZ75=$AZ$98,1,0))</f>
        <v>0</v>
      </c>
      <c r="BB75" s="556">
        <f>IF($AN$98&lt;8,0,IF(AND($AN$98&gt;8,SUM(AM75,AO75:AQ75,AU75,AW75,AY75,BA75)=0),AN75,0))</f>
        <v>0</v>
      </c>
      <c r="BC75" s="556">
        <f>IF(SUM($BC$27:BC69)=1,0,IF(BB75=0,0,IF(BB75=$BB$98,1,0)))</f>
        <v>0</v>
      </c>
      <c r="BD75" s="235" t="str">
        <f t="shared" ref="BD75:BO75" si="8">IF(I75=0,"",IF(I75="A",1,IF(I75="B",2,IF(I75="C",3,FALSE()))))</f>
        <v/>
      </c>
      <c r="BE75" s="234" t="str">
        <f t="shared" si="8"/>
        <v/>
      </c>
      <c r="BF75" s="232" t="str">
        <f t="shared" si="8"/>
        <v/>
      </c>
      <c r="BG75" s="235" t="str">
        <f t="shared" si="8"/>
        <v/>
      </c>
      <c r="BH75" s="234" t="str">
        <f t="shared" si="8"/>
        <v/>
      </c>
      <c r="BI75" s="232" t="str">
        <f t="shared" si="8"/>
        <v/>
      </c>
      <c r="BJ75" s="235" t="str">
        <f t="shared" si="8"/>
        <v/>
      </c>
      <c r="BK75" s="234" t="str">
        <f t="shared" si="8"/>
        <v/>
      </c>
      <c r="BL75" s="232" t="str">
        <f t="shared" si="8"/>
        <v/>
      </c>
      <c r="BM75" s="235" t="str">
        <f t="shared" si="8"/>
        <v/>
      </c>
      <c r="BN75" s="234" t="str">
        <f t="shared" si="8"/>
        <v/>
      </c>
      <c r="BO75" s="232" t="str">
        <f t="shared" si="8"/>
        <v/>
      </c>
      <c r="BP75" s="233">
        <f>COUNTIF(BD75:BO75,1)</f>
        <v>0</v>
      </c>
      <c r="BQ75" s="232">
        <f>COUNTIF(BD75:BO75,2)</f>
        <v>0</v>
      </c>
      <c r="BR75" s="232">
        <f>COUNTIF(BD75:BO75,3)</f>
        <v>0</v>
      </c>
      <c r="BS75" s="232"/>
      <c r="BT75" s="232"/>
      <c r="BU75" s="232"/>
      <c r="BV75" s="232"/>
      <c r="BW75" s="232"/>
      <c r="BX75" s="232"/>
      <c r="BY75" s="232"/>
      <c r="BZ75" s="232"/>
      <c r="CA75" s="232"/>
      <c r="CB75" s="232"/>
      <c r="CC75" s="232"/>
      <c r="CD75" s="232"/>
      <c r="CE75" s="232"/>
      <c r="CF75" s="232"/>
      <c r="CG75" s="232"/>
      <c r="CH75" s="232"/>
      <c r="CI75" s="232"/>
      <c r="CJ75" s="232"/>
      <c r="CK75" s="232"/>
      <c r="CL75" s="232"/>
      <c r="CM75" s="232"/>
      <c r="CN75" s="232"/>
      <c r="CO75" s="232"/>
      <c r="CP75" s="232"/>
    </row>
    <row r="76" spans="1:94" ht="14.85" customHeight="1">
      <c r="A76" s="255" t="s">
        <v>18101</v>
      </c>
      <c r="B76" s="248"/>
      <c r="C76" s="248"/>
      <c r="D76" s="260"/>
      <c r="E76" s="197"/>
      <c r="F76" s="241"/>
      <c r="G76" s="285" t="s">
        <v>22</v>
      </c>
      <c r="H76" s="239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201"/>
      <c r="V76" s="222"/>
      <c r="W76" s="246"/>
      <c r="X76" s="546"/>
      <c r="Y76" s="546"/>
      <c r="Z76" s="546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M76" s="557"/>
      <c r="AN76" s="557"/>
      <c r="AO76" s="557"/>
      <c r="AP76" s="557"/>
      <c r="AQ76" s="557"/>
      <c r="AS76" s="557"/>
      <c r="AT76" s="557"/>
      <c r="AU76" s="557"/>
      <c r="AV76" s="557"/>
      <c r="AW76" s="557"/>
      <c r="AX76" s="557"/>
      <c r="AY76" s="557"/>
      <c r="AZ76" s="557"/>
      <c r="BA76" s="557"/>
      <c r="BB76" s="557"/>
      <c r="BC76" s="557"/>
      <c r="BD76" s="235"/>
      <c r="BE76" s="234"/>
      <c r="BF76" s="232"/>
      <c r="BG76" s="235"/>
      <c r="BH76" s="234"/>
      <c r="BI76" s="232"/>
      <c r="BJ76" s="235"/>
      <c r="BK76" s="234"/>
      <c r="BL76" s="232"/>
      <c r="BM76" s="235"/>
      <c r="BN76" s="234"/>
      <c r="BO76" s="232"/>
      <c r="BP76" s="233"/>
      <c r="BQ76" s="232"/>
      <c r="BR76" s="232"/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2"/>
      <c r="CL76" s="232"/>
      <c r="CM76" s="232"/>
      <c r="CN76" s="232"/>
      <c r="CO76" s="232"/>
      <c r="CP76" s="232"/>
    </row>
    <row r="77" spans="1:94" ht="14.85" customHeight="1">
      <c r="A77" s="245"/>
      <c r="B77" s="244"/>
      <c r="C77" s="244"/>
      <c r="D77" s="243"/>
      <c r="E77" s="242"/>
      <c r="F77" s="241"/>
      <c r="G77" s="285"/>
      <c r="H77" s="239" t="s">
        <v>18089</v>
      </c>
      <c r="I77" s="671"/>
      <c r="J77" s="669"/>
      <c r="K77" s="369"/>
      <c r="L77" s="671"/>
      <c r="M77" s="669"/>
      <c r="N77" s="369"/>
      <c r="O77" s="671"/>
      <c r="P77" s="669"/>
      <c r="Q77" s="369"/>
      <c r="R77" s="671"/>
      <c r="S77" s="669"/>
      <c r="T77" s="369"/>
      <c r="U77" s="201"/>
      <c r="V77" s="222"/>
      <c r="W77" s="246"/>
      <c r="X77" s="546"/>
      <c r="Y77" s="546"/>
      <c r="Z77" s="546"/>
      <c r="AB77" s="557"/>
      <c r="AC77" s="557"/>
      <c r="AD77" s="557"/>
      <c r="AE77" s="557"/>
      <c r="AF77" s="557"/>
      <c r="AG77" s="557"/>
      <c r="AH77" s="557"/>
      <c r="AI77" s="557"/>
      <c r="AJ77" s="557"/>
      <c r="AK77" s="557"/>
      <c r="AM77" s="557"/>
      <c r="AN77" s="557"/>
      <c r="AO77" s="557"/>
      <c r="AP77" s="557"/>
      <c r="AQ77" s="557"/>
      <c r="AS77" s="557"/>
      <c r="AT77" s="557"/>
      <c r="AU77" s="557"/>
      <c r="AV77" s="557"/>
      <c r="AW77" s="557"/>
      <c r="AX77" s="557"/>
      <c r="AY77" s="557"/>
      <c r="AZ77" s="557"/>
      <c r="BA77" s="557"/>
      <c r="BB77" s="557"/>
      <c r="BC77" s="557"/>
      <c r="BD77" s="235"/>
      <c r="BE77" s="234"/>
      <c r="BF77" s="232"/>
      <c r="BG77" s="235"/>
      <c r="BH77" s="234"/>
      <c r="BI77" s="232"/>
      <c r="BJ77" s="235"/>
      <c r="BK77" s="234"/>
      <c r="BL77" s="232"/>
      <c r="BM77" s="235"/>
      <c r="BN77" s="234"/>
      <c r="BO77" s="232"/>
      <c r="BP77" s="233"/>
      <c r="BQ77" s="232"/>
      <c r="BR77" s="232"/>
      <c r="BS77" s="232"/>
      <c r="BT77" s="232"/>
      <c r="BU77" s="232"/>
      <c r="BV77" s="232"/>
      <c r="BW77" s="232"/>
      <c r="BX77" s="232"/>
      <c r="BY77" s="232"/>
      <c r="BZ77" s="232"/>
      <c r="CA77" s="232"/>
      <c r="CB77" s="232"/>
      <c r="CC77" s="232"/>
      <c r="CD77" s="232"/>
      <c r="CE77" s="232"/>
      <c r="CF77" s="232"/>
      <c r="CG77" s="232"/>
      <c r="CH77" s="232"/>
      <c r="CI77" s="232"/>
      <c r="CJ77" s="232"/>
      <c r="CK77" s="232"/>
      <c r="CL77" s="232"/>
      <c r="CM77" s="232"/>
      <c r="CN77" s="232"/>
      <c r="CO77" s="232"/>
      <c r="CP77" s="232"/>
    </row>
    <row r="78" spans="1:94" ht="14.85" customHeight="1" thickBot="1">
      <c r="A78" s="267"/>
      <c r="B78" s="266"/>
      <c r="C78" s="266"/>
      <c r="D78" s="265"/>
      <c r="E78" s="264"/>
      <c r="F78" s="227"/>
      <c r="G78" s="284"/>
      <c r="H78" s="225"/>
      <c r="I78" s="672"/>
      <c r="J78" s="670"/>
      <c r="K78" s="369"/>
      <c r="L78" s="672"/>
      <c r="M78" s="670"/>
      <c r="N78" s="369"/>
      <c r="O78" s="672"/>
      <c r="P78" s="670"/>
      <c r="Q78" s="369"/>
      <c r="R78" s="672"/>
      <c r="S78" s="670"/>
      <c r="T78" s="369"/>
      <c r="U78" s="263"/>
      <c r="V78" s="262"/>
      <c r="W78" s="261"/>
      <c r="X78" s="566"/>
      <c r="Y78" s="566"/>
      <c r="Z78" s="566"/>
      <c r="AB78" s="558"/>
      <c r="AC78" s="558"/>
      <c r="AD78" s="558"/>
      <c r="AE78" s="558"/>
      <c r="AF78" s="558"/>
      <c r="AG78" s="558"/>
      <c r="AH78" s="558"/>
      <c r="AI78" s="558"/>
      <c r="AJ78" s="558"/>
      <c r="AK78" s="558"/>
      <c r="AM78" s="558"/>
      <c r="AN78" s="558"/>
      <c r="AO78" s="558"/>
      <c r="AP78" s="558"/>
      <c r="AQ78" s="558"/>
      <c r="AS78" s="558"/>
      <c r="AT78" s="558"/>
      <c r="AU78" s="558"/>
      <c r="AV78" s="558"/>
      <c r="AW78" s="558"/>
      <c r="AX78" s="558"/>
      <c r="AY78" s="558"/>
      <c r="AZ78" s="558"/>
      <c r="BA78" s="558"/>
      <c r="BB78" s="558"/>
      <c r="BC78" s="558"/>
      <c r="BD78" s="221"/>
      <c r="BE78" s="220"/>
      <c r="BF78" s="218"/>
      <c r="BG78" s="221"/>
      <c r="BH78" s="220"/>
      <c r="BI78" s="218"/>
      <c r="BJ78" s="221"/>
      <c r="BK78" s="220"/>
      <c r="BL78" s="218"/>
      <c r="BM78" s="221"/>
      <c r="BN78" s="220"/>
      <c r="BO78" s="218"/>
      <c r="BP78" s="219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</row>
    <row r="79" spans="1:94" ht="14.85" customHeight="1">
      <c r="A79" s="283"/>
      <c r="B79" s="282"/>
      <c r="C79" s="282"/>
      <c r="D79" s="281"/>
      <c r="E79" s="280"/>
      <c r="F79" s="275"/>
      <c r="G79" s="274"/>
      <c r="H79" s="273" t="s">
        <v>18093</v>
      </c>
      <c r="I79" s="661"/>
      <c r="J79" s="654"/>
      <c r="K79" s="367"/>
      <c r="L79" s="661"/>
      <c r="M79" s="654"/>
      <c r="N79" s="367"/>
      <c r="O79" s="661"/>
      <c r="P79" s="654"/>
      <c r="Q79" s="367"/>
      <c r="R79" s="661"/>
      <c r="S79" s="654"/>
      <c r="T79" s="367"/>
      <c r="U79" s="272" t="str">
        <f>IF($L$4=0,"",IF(COUNTA(I79:T80)=W81,"",IF(AND(COUNTA(I79:T80)=0,V81=0),"","Nb.prel")))</f>
        <v/>
      </c>
      <c r="V79" s="271"/>
      <c r="W79" s="270"/>
      <c r="X79" s="565"/>
      <c r="Y79" s="565"/>
      <c r="Z79" s="565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M79" s="551"/>
      <c r="AN79" s="551"/>
      <c r="AO79" s="551"/>
      <c r="AP79" s="551"/>
      <c r="AQ79" s="551"/>
      <c r="AS79" s="551"/>
      <c r="AT79" s="551"/>
      <c r="AU79" s="551"/>
      <c r="AV79" s="551"/>
      <c r="AW79" s="551"/>
      <c r="AX79" s="551"/>
      <c r="AY79" s="551"/>
      <c r="AZ79" s="551"/>
      <c r="BA79" s="551"/>
      <c r="BB79" s="551"/>
      <c r="BC79" s="551"/>
      <c r="BD79" s="259">
        <f>COUNTIF(I79:K79,"&gt;0")</f>
        <v>0</v>
      </c>
      <c r="BE79" s="258"/>
      <c r="BF79" s="256"/>
      <c r="BG79" s="259">
        <f>COUNTIF(L79:N79,"&gt;0")</f>
        <v>0</v>
      </c>
      <c r="BH79" s="258"/>
      <c r="BI79" s="256"/>
      <c r="BJ79" s="259">
        <f>COUNTIF(O79:Q79,"&gt;0")</f>
        <v>0</v>
      </c>
      <c r="BK79" s="258"/>
      <c r="BL79" s="256"/>
      <c r="BM79" s="259">
        <f>COUNTIF(R79:T79,"&gt;0")</f>
        <v>0</v>
      </c>
      <c r="BN79" s="258"/>
      <c r="BO79" s="256"/>
      <c r="BP79" s="257"/>
      <c r="BQ79" s="256"/>
      <c r="BR79" s="256"/>
      <c r="BS79" s="256">
        <f>COUNTIF(I79:T79,1)</f>
        <v>0</v>
      </c>
      <c r="BT79" s="256">
        <f>COUNTIF(I79:T79,2)</f>
        <v>0</v>
      </c>
      <c r="BU79" s="256">
        <f>COUNTIF(I79:T79,3)</f>
        <v>0</v>
      </c>
      <c r="BV79" s="256">
        <f>COUNTIF(I79:T79,4)</f>
        <v>0</v>
      </c>
      <c r="BW79" s="256">
        <f>COUNTIF(I79:T79,5)</f>
        <v>0</v>
      </c>
      <c r="BX79" s="256">
        <f>COUNTIF(I79:T79,6)</f>
        <v>0</v>
      </c>
      <c r="BY79" s="256">
        <f>COUNTIF(I79:T79,7)</f>
        <v>0</v>
      </c>
      <c r="BZ79" s="256">
        <f>COUNTIF(I79:T79,8)</f>
        <v>0</v>
      </c>
      <c r="CA79" s="256">
        <f>COUNTIF(I79:T79,9)</f>
        <v>0</v>
      </c>
      <c r="CB79" s="256">
        <f>COUNTIF(I79:T79,10)</f>
        <v>0</v>
      </c>
      <c r="CC79" s="256">
        <f>COUNTIF(I79:T79,11)</f>
        <v>0</v>
      </c>
      <c r="CD79" s="256">
        <f>COUNTIF(I79:T79,12)</f>
        <v>0</v>
      </c>
      <c r="CE79" s="256">
        <f>IF(BS79=0,0,HLOOKUP(1,$I$80:$T$85,3,FALSE()))</f>
        <v>0</v>
      </c>
      <c r="CF79" s="256">
        <f>IF(BT79=0,0,HLOOKUP(2,$I$80:$T$85,3,FALSE()))</f>
        <v>0</v>
      </c>
      <c r="CG79" s="256">
        <f>IF(BU79=0,0,HLOOKUP(3,$I$80:$T$85,3,FALSE()))</f>
        <v>0</v>
      </c>
      <c r="CH79" s="256">
        <f>IF(BV79=0,0,HLOOKUP(4,$I$80:$T$85,3,FALSE()))</f>
        <v>0</v>
      </c>
      <c r="CI79" s="256">
        <f>IF(BW79=0,0,HLOOKUP(5,$I$80:$T$85,3,FALSE()))</f>
        <v>0</v>
      </c>
      <c r="CJ79" s="256">
        <f>IF(BX79=0,0,HLOOKUP(6,$I$80:$T$85,3,FALSE()))</f>
        <v>0</v>
      </c>
      <c r="CK79" s="256">
        <f>IF(BY79=0,0,HLOOKUP(7,$I$80:$T$85,3,FALSE()))</f>
        <v>0</v>
      </c>
      <c r="CL79" s="256">
        <f>IF(BZ79=0,0,HLOOKUP(8,$I$80:$T$85,3,FALSE()))</f>
        <v>0</v>
      </c>
      <c r="CM79" s="256">
        <f>IF(CA79=0,0,HLOOKUP(9,$I$80:$T$85,3,FALSE()))</f>
        <v>0</v>
      </c>
      <c r="CN79" s="256">
        <f>IF(CB79=0,0,HLOOKUP(10,$I$80:$T$85,3,FALSE()))</f>
        <v>0</v>
      </c>
      <c r="CO79" s="256">
        <f>IF(CC79=0,0,HLOOKUP(11,$I$80:$T$85,3,FALSE()))</f>
        <v>0</v>
      </c>
      <c r="CP79" s="256">
        <f>IF(CD79=0,0,HLOOKUP(12,$I$80:$T$85,3,FALSE()))</f>
        <v>0</v>
      </c>
    </row>
    <row r="80" spans="1:94" ht="14.85" customHeight="1">
      <c r="A80" s="255"/>
      <c r="B80" s="248"/>
      <c r="C80" s="248"/>
      <c r="D80" s="659"/>
      <c r="E80" s="659"/>
      <c r="F80" s="241"/>
      <c r="G80" s="240"/>
      <c r="H80" s="254"/>
      <c r="I80" s="662"/>
      <c r="J80" s="655"/>
      <c r="K80" s="368"/>
      <c r="L80" s="662"/>
      <c r="M80" s="655"/>
      <c r="N80" s="368"/>
      <c r="O80" s="662"/>
      <c r="P80" s="655"/>
      <c r="Q80" s="368"/>
      <c r="R80" s="662"/>
      <c r="S80" s="655"/>
      <c r="T80" s="368"/>
      <c r="U80" s="201"/>
      <c r="V80" s="269"/>
      <c r="W80" s="246"/>
      <c r="X80" s="546"/>
      <c r="Y80" s="546"/>
      <c r="Z80" s="546"/>
      <c r="AB80" s="557"/>
      <c r="AC80" s="557"/>
      <c r="AD80" s="557"/>
      <c r="AE80" s="557"/>
      <c r="AF80" s="557"/>
      <c r="AG80" s="557"/>
      <c r="AH80" s="557"/>
      <c r="AI80" s="557"/>
      <c r="AJ80" s="557"/>
      <c r="AK80" s="557"/>
      <c r="AM80" s="557"/>
      <c r="AN80" s="557"/>
      <c r="AO80" s="557"/>
      <c r="AP80" s="557"/>
      <c r="AQ80" s="557"/>
      <c r="AS80" s="557"/>
      <c r="AT80" s="557"/>
      <c r="AU80" s="557"/>
      <c r="AV80" s="557"/>
      <c r="AW80" s="557"/>
      <c r="AX80" s="557"/>
      <c r="AY80" s="557"/>
      <c r="AZ80" s="557"/>
      <c r="BA80" s="557"/>
      <c r="BB80" s="557"/>
      <c r="BC80" s="557"/>
      <c r="BD80" s="252"/>
      <c r="BE80" s="251"/>
      <c r="BF80" s="249"/>
      <c r="BG80" s="252"/>
      <c r="BH80" s="251"/>
      <c r="BI80" s="249"/>
      <c r="BJ80" s="252"/>
      <c r="BK80" s="251"/>
      <c r="BL80" s="249"/>
      <c r="BM80" s="252"/>
      <c r="BN80" s="251"/>
      <c r="BO80" s="249"/>
      <c r="BP80" s="250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</row>
    <row r="81" spans="1:94" ht="14.85" customHeight="1">
      <c r="A81" s="255" t="s">
        <v>18100</v>
      </c>
      <c r="B81" s="248"/>
      <c r="C81" s="248"/>
      <c r="D81" s="659" t="s">
        <v>18091</v>
      </c>
      <c r="E81" s="659"/>
      <c r="F81" s="241"/>
      <c r="G81" s="240"/>
      <c r="H81" s="239" t="s">
        <v>18087</v>
      </c>
      <c r="I81" s="660"/>
      <c r="J81" s="660"/>
      <c r="K81" s="660"/>
      <c r="L81" s="660"/>
      <c r="M81" s="660"/>
      <c r="N81" s="660"/>
      <c r="O81" s="660" t="s">
        <v>17961</v>
      </c>
      <c r="P81" s="660"/>
      <c r="Q81" s="660"/>
      <c r="R81" s="660" t="s">
        <v>17942</v>
      </c>
      <c r="S81" s="660"/>
      <c r="T81" s="660"/>
      <c r="U81" s="201" t="str">
        <f>IF($L$4=0,"",IF(COUNTBLANK(I79:T79)=12,"",IF(COUNTBLANK(I81:T81)=12,"% rec.",IF(OR(COUNTIF(I81:T81,"x")&gt;1,COUNTIF(I81:T81,"xx")&gt;1,COUNTIF(I81:T81,"xxx")&gt;1,COUNTIF(I81:T81,"xxxx")&gt;1),"% rec.",""))))</f>
        <v/>
      </c>
      <c r="V81" s="268">
        <v>1</v>
      </c>
      <c r="W81" s="206">
        <f>IF(V81=0,"",SUM(X81:Z81))</f>
        <v>0</v>
      </c>
      <c r="X81" s="546" t="str">
        <f>IF(V81=0,"",IF(SUM(AB81,AD81,AE81,AF81,AG81,AI81,AJ81)=0,"",(IF(MAX($AC$27:$AC$93)&lt;1,SUM(AB81,AD81,AE81,AF81,AG81,AI81,AJ81),IF(OR(V81=0,AB81=0),"",IF(AB81=1,SUM(AB81,AD81,AE81,AF81,AG81,AI81),0))))))</f>
        <v/>
      </c>
      <c r="Y81" s="546" t="str">
        <f>IF(OR(V81=0,SUM(AM81,AO81,AP81,AQ81)=0,V81="P"),"",SUM(AM81,AO81,AP81,AQ81))</f>
        <v/>
      </c>
      <c r="Z81" s="546" t="str">
        <f>IF(OR(V81=0,SUM(AS81,AU81,AW81,AY81,BA81,BC81)=0),"",IF(SUM(AU81,AW81,AY81,BA81)=0,"",SUM(AU81,AW81,AY81,BA81)))</f>
        <v/>
      </c>
      <c r="AB81" s="556">
        <f>IF(V81=0,0,IF(AND(V81&lt;5,SUM($AB$27:AB75)&lt;4),1,0))</f>
        <v>0</v>
      </c>
      <c r="AC81" s="556">
        <f>IF(OR(V81=0,V81&gt;4.9),0,V81)</f>
        <v>1</v>
      </c>
      <c r="AD81" s="556">
        <f>IF(AC81&lt;1,0,IF($AB$98=4,0,IF(SUM($AB$98,$AD$27:AD75)=4,0,IF(MAX($AC$27:$AC$93)=AC81,1,0))))</f>
        <v>0</v>
      </c>
      <c r="AE81" s="556">
        <f>IF($AB$98=4,0,IF(SUM($AB$98,$AD$98,$AE$27:AE75)=4,0,IF(AND($AC$99=1,AC81&gt;0.99),1,IF(AND($AC$98=1,$AC$99=1,AD81=0,AC81&gt;0),1,IF(AND($AC$99=2,AD81=0,AC81&gt;0.99),1,0)))))</f>
        <v>0</v>
      </c>
      <c r="AF81" s="556">
        <f>IF(AND($AB$98=1,AC81&gt;0.99),1,0)</f>
        <v>0</v>
      </c>
      <c r="AG81" s="556">
        <f>IF($AN$98&lt;9,0,IF($AC$99=0,BC81))</f>
        <v>0</v>
      </c>
      <c r="AH81" s="556">
        <f>IF(AND(MAX($AC$27:$AC$93)&lt;1,AN81&gt;4.9),1,0)</f>
        <v>0</v>
      </c>
      <c r="AI81" s="556">
        <f>IF(AH81=0,0,IF(SUM($AC$98,$AG$98,$AH$27:AH75)&gt;3,0,1))</f>
        <v>0</v>
      </c>
      <c r="AJ81" s="556">
        <f>IF(AND(SUM($AI$98,$AC$98,$AG$98)=3,AI81=1,SUM($AI$27:AI75)=0),1,0)</f>
        <v>0</v>
      </c>
      <c r="AK81" s="556"/>
      <c r="AM81" s="556">
        <f>IF(OR(ISTEXT(V81)=TRUE(),V81=0),0,IF(AND(V81&gt;4.9,SUM($AM$27:AM75)&lt;4),1,0))</f>
        <v>0</v>
      </c>
      <c r="AN81" s="556">
        <f>IF(OR(V81=0,ISTEXT(V81)=TRUE(),V81&lt;5),0,V81)</f>
        <v>0</v>
      </c>
      <c r="AO81" s="556">
        <f>IF($AM$98=4,0,IF(SUM($AM$98,$AO$27:AO75)=4,0,IF(MAX($AN$27:$AN$93)=AN81,1,0)))</f>
        <v>0</v>
      </c>
      <c r="AP81" s="556">
        <f>IF($AN$98&gt;2,0,IF(AND(LARGE($AN$27:$AN$93,2)&lt;24.1,AO81=1),1,IF(AND((LARGE($AN$27:$AN$93,2))=AN81,$AM$98=2,AN81&gt;24),1,0)))</f>
        <v>0</v>
      </c>
      <c r="AQ81" s="556">
        <f>IF(AND($AM$98=1,AN81&gt;0),1,0)</f>
        <v>0</v>
      </c>
      <c r="AS81" s="556">
        <f>IF(AND($AN$98&gt;4,V81&gt;4.9,SUM(AM81,AO81:AQ81)=0),1,0)</f>
        <v>0</v>
      </c>
      <c r="AT81" s="556">
        <f>IF(AND($AN$98&gt;4,AS81=0),0,AN81-SUM(AM81,AO81:AQ81)*10)</f>
        <v>0</v>
      </c>
      <c r="AU81" s="556">
        <f>IF(SUM($AU$27:AU75)=1,0,IF(AT81=$AT$99,1,0))</f>
        <v>0</v>
      </c>
      <c r="AV81" s="556">
        <f>IF(AND($AN$98&gt;5,SUM(AM81,AO81:AQ81,AU81)=1),0,AN81-SUM(AM81,AO81:AQ81,AU81)*10)</f>
        <v>0</v>
      </c>
      <c r="AW81" s="556">
        <f>IF(SUM($AW$27:AW75)=1,0,IF(AV81=$AV$98,1,0))</f>
        <v>0</v>
      </c>
      <c r="AX81" s="556">
        <f>IF(AND($AN$98&gt;6,SUM(AM81,AO81:AQ81,AU81,AW81)=1),0,AN81-SUM(AM81,AO81:AQ81,AU81,AW81)*10)</f>
        <v>0</v>
      </c>
      <c r="AY81" s="556">
        <f>IF(SUM($AY$27:AY75)=1,0,IF(AX81=$AX$98,1,0))</f>
        <v>0</v>
      </c>
      <c r="AZ81" s="556">
        <f>IF(AND($AN$98&gt;7,SUM(AM81,AO81:AQ81,AU81,AW81,AY81)=1),0,AN81-SUM(AM81,AO81:AQ81,AU81,AW81,AY81)*10)</f>
        <v>0</v>
      </c>
      <c r="BA81" s="556">
        <f>IF(SUM($BA$27:BA75)=1,0,IF(AZ81=$AZ$98,1,0))</f>
        <v>0</v>
      </c>
      <c r="BB81" s="556">
        <f>IF($AN$98&lt;8,0,IF(AND($AN$98&gt;8,SUM(AM81,AO81:AQ81,AU81,AW81,AY81,BA81)=0),AN81,0))</f>
        <v>0</v>
      </c>
      <c r="BC81" s="556">
        <f>IF(SUM($BC$27:BC75)=1,0,IF(BB81=0,0,IF(BB81=$BB$98,1,0)))</f>
        <v>0</v>
      </c>
      <c r="BD81" s="235" t="str">
        <f t="shared" ref="BD81:BO81" si="9">IF(I81=0,"",IF(I81="A",1,IF(I81="B",2,IF(I81="C",3,FALSE()))))</f>
        <v/>
      </c>
      <c r="BE81" s="234" t="str">
        <f t="shared" si="9"/>
        <v/>
      </c>
      <c r="BF81" s="232" t="str">
        <f t="shared" si="9"/>
        <v/>
      </c>
      <c r="BG81" s="235" t="str">
        <f t="shared" si="9"/>
        <v/>
      </c>
      <c r="BH81" s="234" t="str">
        <f t="shared" si="9"/>
        <v/>
      </c>
      <c r="BI81" s="232" t="str">
        <f t="shared" si="9"/>
        <v/>
      </c>
      <c r="BJ81" s="235" t="b">
        <f t="shared" si="9"/>
        <v>0</v>
      </c>
      <c r="BK81" s="234" t="str">
        <f t="shared" si="9"/>
        <v/>
      </c>
      <c r="BL81" s="232" t="str">
        <f t="shared" si="9"/>
        <v/>
      </c>
      <c r="BM81" s="235" t="b">
        <f t="shared" si="9"/>
        <v>0</v>
      </c>
      <c r="BN81" s="234" t="str">
        <f t="shared" si="9"/>
        <v/>
      </c>
      <c r="BO81" s="232" t="str">
        <f t="shared" si="9"/>
        <v/>
      </c>
      <c r="BP81" s="233">
        <f>COUNTIF(BD81:BO81,1)</f>
        <v>0</v>
      </c>
      <c r="BQ81" s="232">
        <f>COUNTIF(BD81:BO81,2)</f>
        <v>0</v>
      </c>
      <c r="BR81" s="232">
        <f>COUNTIF(BD81:BO81,3)</f>
        <v>0</v>
      </c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</row>
    <row r="82" spans="1:94" ht="14.85" customHeight="1">
      <c r="A82" s="255" t="s">
        <v>18099</v>
      </c>
      <c r="B82" s="248"/>
      <c r="C82" s="248"/>
      <c r="D82" s="659" t="s">
        <v>18098</v>
      </c>
      <c r="E82" s="659"/>
      <c r="F82" s="241"/>
      <c r="G82" s="240" t="s">
        <v>23</v>
      </c>
      <c r="H82" s="239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201"/>
      <c r="V82" s="222"/>
      <c r="W82" s="246"/>
      <c r="X82" s="546"/>
      <c r="Y82" s="546"/>
      <c r="Z82" s="546"/>
      <c r="AB82" s="557"/>
      <c r="AC82" s="557"/>
      <c r="AD82" s="557"/>
      <c r="AE82" s="557"/>
      <c r="AF82" s="557"/>
      <c r="AG82" s="557"/>
      <c r="AH82" s="557"/>
      <c r="AI82" s="557"/>
      <c r="AJ82" s="557"/>
      <c r="AK82" s="557"/>
      <c r="AM82" s="557"/>
      <c r="AN82" s="557"/>
      <c r="AO82" s="557"/>
      <c r="AP82" s="557"/>
      <c r="AQ82" s="557"/>
      <c r="AS82" s="557"/>
      <c r="AT82" s="557"/>
      <c r="AU82" s="557"/>
      <c r="AV82" s="557"/>
      <c r="AW82" s="557"/>
      <c r="AX82" s="557"/>
      <c r="AY82" s="557"/>
      <c r="AZ82" s="557"/>
      <c r="BA82" s="557"/>
      <c r="BB82" s="557"/>
      <c r="BC82" s="557"/>
      <c r="BD82" s="235"/>
      <c r="BE82" s="234"/>
      <c r="BF82" s="232"/>
      <c r="BG82" s="235"/>
      <c r="BH82" s="234"/>
      <c r="BI82" s="232"/>
      <c r="BJ82" s="235"/>
      <c r="BK82" s="234"/>
      <c r="BL82" s="232"/>
      <c r="BM82" s="235"/>
      <c r="BN82" s="234"/>
      <c r="BO82" s="232"/>
      <c r="BP82" s="233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2"/>
      <c r="CL82" s="232"/>
      <c r="CM82" s="232"/>
      <c r="CN82" s="232"/>
      <c r="CO82" s="232"/>
      <c r="CP82" s="232"/>
    </row>
    <row r="83" spans="1:94" ht="14.85" customHeight="1">
      <c r="A83" s="245"/>
      <c r="B83" s="244"/>
      <c r="C83" s="244"/>
      <c r="D83" s="243"/>
      <c r="E83" s="242"/>
      <c r="F83" s="241"/>
      <c r="G83" s="240"/>
      <c r="H83" s="239" t="s">
        <v>18089</v>
      </c>
      <c r="I83" s="671"/>
      <c r="J83" s="669"/>
      <c r="K83" s="369"/>
      <c r="L83" s="671"/>
      <c r="M83" s="669"/>
      <c r="N83" s="369"/>
      <c r="O83" s="671"/>
      <c r="P83" s="669"/>
      <c r="Q83" s="369"/>
      <c r="R83" s="671"/>
      <c r="S83" s="669"/>
      <c r="T83" s="369"/>
      <c r="U83" s="201"/>
      <c r="V83" s="222"/>
      <c r="W83" s="246"/>
      <c r="X83" s="546"/>
      <c r="Y83" s="546"/>
      <c r="Z83" s="546"/>
      <c r="AB83" s="557"/>
      <c r="AC83" s="557"/>
      <c r="AD83" s="557"/>
      <c r="AE83" s="557"/>
      <c r="AF83" s="557"/>
      <c r="AG83" s="557"/>
      <c r="AH83" s="557"/>
      <c r="AI83" s="557"/>
      <c r="AJ83" s="557"/>
      <c r="AK83" s="557"/>
      <c r="AM83" s="557"/>
      <c r="AN83" s="557"/>
      <c r="AO83" s="557"/>
      <c r="AP83" s="557"/>
      <c r="AQ83" s="557"/>
      <c r="AS83" s="557"/>
      <c r="AT83" s="557"/>
      <c r="AU83" s="557"/>
      <c r="AV83" s="557"/>
      <c r="AW83" s="557"/>
      <c r="AX83" s="557"/>
      <c r="AY83" s="557"/>
      <c r="AZ83" s="557"/>
      <c r="BA83" s="557"/>
      <c r="BB83" s="557"/>
      <c r="BC83" s="557"/>
      <c r="BD83" s="235"/>
      <c r="BE83" s="234"/>
      <c r="BF83" s="232"/>
      <c r="BG83" s="235"/>
      <c r="BH83" s="234"/>
      <c r="BI83" s="232"/>
      <c r="BJ83" s="235"/>
      <c r="BK83" s="234"/>
      <c r="BL83" s="232"/>
      <c r="BM83" s="235"/>
      <c r="BN83" s="234"/>
      <c r="BO83" s="232"/>
      <c r="BP83" s="233"/>
      <c r="BQ83" s="232"/>
      <c r="BR83" s="232"/>
      <c r="BS83" s="232"/>
      <c r="BT83" s="232"/>
      <c r="BU83" s="232"/>
      <c r="BV83" s="232"/>
      <c r="BW83" s="232"/>
      <c r="BX83" s="232"/>
      <c r="BY83" s="232"/>
      <c r="BZ83" s="232"/>
      <c r="CA83" s="232"/>
      <c r="CB83" s="232"/>
      <c r="CC83" s="232"/>
      <c r="CD83" s="232"/>
      <c r="CE83" s="232"/>
      <c r="CF83" s="232"/>
      <c r="CG83" s="232"/>
      <c r="CH83" s="232"/>
      <c r="CI83" s="232"/>
      <c r="CJ83" s="232"/>
      <c r="CK83" s="232"/>
      <c r="CL83" s="232"/>
      <c r="CM83" s="232"/>
      <c r="CN83" s="232"/>
      <c r="CO83" s="232"/>
      <c r="CP83" s="232"/>
    </row>
    <row r="84" spans="1:94" ht="14.85" customHeight="1" thickBot="1">
      <c r="A84" s="267"/>
      <c r="B84" s="266"/>
      <c r="C84" s="266"/>
      <c r="D84" s="265"/>
      <c r="E84" s="264"/>
      <c r="F84" s="227"/>
      <c r="G84" s="226"/>
      <c r="H84" s="225"/>
      <c r="I84" s="672"/>
      <c r="J84" s="670"/>
      <c r="K84" s="369"/>
      <c r="L84" s="672"/>
      <c r="M84" s="670"/>
      <c r="N84" s="369"/>
      <c r="O84" s="672"/>
      <c r="P84" s="670"/>
      <c r="Q84" s="369"/>
      <c r="R84" s="672"/>
      <c r="S84" s="670"/>
      <c r="T84" s="369"/>
      <c r="U84" s="263"/>
      <c r="V84" s="262"/>
      <c r="W84" s="261"/>
      <c r="X84" s="566"/>
      <c r="Y84" s="566"/>
      <c r="Z84" s="566"/>
      <c r="AB84" s="558"/>
      <c r="AC84" s="558"/>
      <c r="AD84" s="558"/>
      <c r="AE84" s="558"/>
      <c r="AF84" s="558"/>
      <c r="AG84" s="558"/>
      <c r="AH84" s="558"/>
      <c r="AI84" s="558"/>
      <c r="AJ84" s="558"/>
      <c r="AK84" s="558"/>
      <c r="AM84" s="558"/>
      <c r="AN84" s="558"/>
      <c r="AO84" s="558"/>
      <c r="AP84" s="558"/>
      <c r="AQ84" s="558"/>
      <c r="AS84" s="558"/>
      <c r="AT84" s="558"/>
      <c r="AU84" s="558"/>
      <c r="AV84" s="558"/>
      <c r="AW84" s="558"/>
      <c r="AX84" s="558"/>
      <c r="AY84" s="558"/>
      <c r="AZ84" s="558"/>
      <c r="BA84" s="558"/>
      <c r="BB84" s="558"/>
      <c r="BC84" s="558"/>
      <c r="BD84" s="221"/>
      <c r="BE84" s="220"/>
      <c r="BF84" s="218"/>
      <c r="BG84" s="221"/>
      <c r="BH84" s="220"/>
      <c r="BI84" s="218"/>
      <c r="BJ84" s="221"/>
      <c r="BK84" s="220"/>
      <c r="BL84" s="218"/>
      <c r="BM84" s="221"/>
      <c r="BN84" s="220"/>
      <c r="BO84" s="218"/>
      <c r="BP84" s="219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</row>
    <row r="85" spans="1:94" ht="14.85" customHeight="1">
      <c r="A85" s="279"/>
      <c r="B85" s="278"/>
      <c r="C85" s="278"/>
      <c r="D85" s="277"/>
      <c r="E85" s="276"/>
      <c r="F85" s="275"/>
      <c r="G85" s="274"/>
      <c r="H85" s="273" t="s">
        <v>18093</v>
      </c>
      <c r="I85" s="661"/>
      <c r="J85" s="654"/>
      <c r="K85" s="367"/>
      <c r="L85" s="661"/>
      <c r="M85" s="654"/>
      <c r="N85" s="367"/>
      <c r="O85" s="661"/>
      <c r="P85" s="654"/>
      <c r="Q85" s="367"/>
      <c r="R85" s="661"/>
      <c r="S85" s="654"/>
      <c r="T85" s="367"/>
      <c r="U85" s="272" t="str">
        <f>IF($L$4=0,"",IF(COUNTA(I85:T86)=W87,"",IF(AND(COUNTA(I85:T86)=0,V87=0),"","Nb.prel")))</f>
        <v/>
      </c>
      <c r="V85" s="271"/>
      <c r="W85" s="270"/>
      <c r="X85" s="565"/>
      <c r="Y85" s="565"/>
      <c r="Z85" s="565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M85" s="551"/>
      <c r="AN85" s="551"/>
      <c r="AO85" s="551"/>
      <c r="AP85" s="551"/>
      <c r="AQ85" s="551"/>
      <c r="AS85" s="551"/>
      <c r="AT85" s="551"/>
      <c r="AU85" s="551"/>
      <c r="AV85" s="551"/>
      <c r="AW85" s="551"/>
      <c r="AX85" s="551"/>
      <c r="AY85" s="551"/>
      <c r="AZ85" s="551"/>
      <c r="BA85" s="551"/>
      <c r="BB85" s="551"/>
      <c r="BC85" s="551"/>
      <c r="BD85" s="259">
        <f>COUNTIF(I85:K85,"&gt;0")</f>
        <v>0</v>
      </c>
      <c r="BE85" s="258"/>
      <c r="BF85" s="256"/>
      <c r="BG85" s="259">
        <f>COUNTIF(L85:N85,"&gt;0")</f>
        <v>0</v>
      </c>
      <c r="BH85" s="258"/>
      <c r="BI85" s="256"/>
      <c r="BJ85" s="259">
        <f>COUNTIF(O85:Q85,"&gt;0")</f>
        <v>0</v>
      </c>
      <c r="BK85" s="258"/>
      <c r="BL85" s="256"/>
      <c r="BM85" s="259">
        <f>COUNTIF(R85:T85,"&gt;0")</f>
        <v>0</v>
      </c>
      <c r="BN85" s="258"/>
      <c r="BO85" s="256"/>
      <c r="BP85" s="257"/>
      <c r="BQ85" s="256"/>
      <c r="BR85" s="256"/>
      <c r="BS85" s="256">
        <f>COUNTIF(I85:T85,1)</f>
        <v>0</v>
      </c>
      <c r="BT85" s="256">
        <f>COUNTIF(I85:T85,2)</f>
        <v>0</v>
      </c>
      <c r="BU85" s="256">
        <f>COUNTIF(I85:T85,3)</f>
        <v>0</v>
      </c>
      <c r="BV85" s="256">
        <f>COUNTIF(I85:T85,4)</f>
        <v>0</v>
      </c>
      <c r="BW85" s="256">
        <f>COUNTIF(I85:T85,5)</f>
        <v>0</v>
      </c>
      <c r="BX85" s="256">
        <f>COUNTIF(I85:T85,6)</f>
        <v>0</v>
      </c>
      <c r="BY85" s="256">
        <f>COUNTIF(I85:T85,7)</f>
        <v>0</v>
      </c>
      <c r="BZ85" s="256">
        <f>COUNTIF(I85:T85,8)</f>
        <v>0</v>
      </c>
      <c r="CA85" s="256">
        <f>COUNTIF(I85:T85,9)</f>
        <v>0</v>
      </c>
      <c r="CB85" s="256">
        <f>COUNTIF(I85:T85,10)</f>
        <v>0</v>
      </c>
      <c r="CC85" s="256">
        <f>COUNTIF(I85:T85,11)</f>
        <v>0</v>
      </c>
      <c r="CD85" s="256">
        <f>COUNTIF(I85:T85,12)</f>
        <v>0</v>
      </c>
      <c r="CE85" s="256">
        <f>IF(BS85=0,0,HLOOKUP(1,$I$86:$T$91,3,FALSE()))</f>
        <v>0</v>
      </c>
      <c r="CF85" s="256">
        <f>IF(BT85=0,0,HLOOKUP(2,$I$86:$T$91,3,FALSE()))</f>
        <v>0</v>
      </c>
      <c r="CG85" s="256">
        <f>IF(BU85=0,0,HLOOKUP(3,$I$86:$T$91,3,FALSE()))</f>
        <v>0</v>
      </c>
      <c r="CH85" s="256">
        <f>IF(BV85=0,0,HLOOKUP(4,$I$86:$T$91,3,FALSE()))</f>
        <v>0</v>
      </c>
      <c r="CI85" s="256">
        <f>IF(BW85=0,0,HLOOKUP(5,$I$86:$T$91,3,FALSE()))</f>
        <v>0</v>
      </c>
      <c r="CJ85" s="256">
        <f>IF(BX85=0,0,HLOOKUP(6,$I$86:$T$91,3,FALSE()))</f>
        <v>0</v>
      </c>
      <c r="CK85" s="256">
        <f>IF(BY85=0,0,HLOOKUP(7,$I$86:$T$91,3,FALSE()))</f>
        <v>0</v>
      </c>
      <c r="CL85" s="256">
        <f>IF(BZ85=0,0,HLOOKUP(8,$I$86:$T$91,3,FALSE()))</f>
        <v>0</v>
      </c>
      <c r="CM85" s="256">
        <f>IF(CA85=0,0,HLOOKUP(9,$I$86:$T$91,3,FALSE()))</f>
        <v>0</v>
      </c>
      <c r="CN85" s="256">
        <f>IF(CB85=0,0,HLOOKUP(10,$I$86:$T$91,3,FALSE()))</f>
        <v>0</v>
      </c>
      <c r="CO85" s="256">
        <f>IF(CC85=0,0,HLOOKUP(11,$I$86:$T$91,3,FALSE()))</f>
        <v>0</v>
      </c>
      <c r="CP85" s="256">
        <f>IF(CD85=0,0,HLOOKUP(12,$I$86:$T$91,3,FALSE()))</f>
        <v>0</v>
      </c>
    </row>
    <row r="86" spans="1:94" ht="14.85" customHeight="1">
      <c r="A86" s="245" t="s">
        <v>18097</v>
      </c>
      <c r="B86" s="244"/>
      <c r="C86" s="244"/>
      <c r="D86" s="659"/>
      <c r="E86" s="659"/>
      <c r="F86" s="241"/>
      <c r="G86" s="240"/>
      <c r="H86" s="254"/>
      <c r="I86" s="662"/>
      <c r="J86" s="655"/>
      <c r="K86" s="368"/>
      <c r="L86" s="662"/>
      <c r="M86" s="655"/>
      <c r="N86" s="368"/>
      <c r="O86" s="662"/>
      <c r="P86" s="655"/>
      <c r="Q86" s="368"/>
      <c r="R86" s="662"/>
      <c r="S86" s="655"/>
      <c r="T86" s="368"/>
      <c r="U86" s="201"/>
      <c r="V86" s="269"/>
      <c r="W86" s="246"/>
      <c r="X86" s="546"/>
      <c r="Y86" s="546"/>
      <c r="Z86" s="546"/>
      <c r="AB86" s="557"/>
      <c r="AC86" s="557"/>
      <c r="AD86" s="557"/>
      <c r="AE86" s="557"/>
      <c r="AF86" s="557"/>
      <c r="AG86" s="557"/>
      <c r="AH86" s="557"/>
      <c r="AI86" s="557"/>
      <c r="AJ86" s="557"/>
      <c r="AK86" s="557"/>
      <c r="AM86" s="557"/>
      <c r="AN86" s="557"/>
      <c r="AO86" s="557"/>
      <c r="AP86" s="557"/>
      <c r="AQ86" s="557"/>
      <c r="AS86" s="557"/>
      <c r="AT86" s="557"/>
      <c r="AU86" s="557"/>
      <c r="AV86" s="557"/>
      <c r="AW86" s="557"/>
      <c r="AX86" s="557"/>
      <c r="AY86" s="557"/>
      <c r="AZ86" s="557"/>
      <c r="BA86" s="557"/>
      <c r="BB86" s="557"/>
      <c r="BC86" s="557"/>
      <c r="BD86" s="252"/>
      <c r="BE86" s="251"/>
      <c r="BF86" s="249"/>
      <c r="BG86" s="252"/>
      <c r="BH86" s="251"/>
      <c r="BI86" s="249"/>
      <c r="BJ86" s="252"/>
      <c r="BK86" s="251"/>
      <c r="BL86" s="249"/>
      <c r="BM86" s="252"/>
      <c r="BN86" s="251"/>
      <c r="BO86" s="249"/>
      <c r="BP86" s="250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</row>
    <row r="87" spans="1:94" ht="14.85" customHeight="1">
      <c r="A87" s="255" t="s">
        <v>18096</v>
      </c>
      <c r="B87" s="244"/>
      <c r="C87" s="244"/>
      <c r="D87" s="659" t="s">
        <v>18091</v>
      </c>
      <c r="E87" s="659"/>
      <c r="F87" s="241"/>
      <c r="G87" s="240"/>
      <c r="H87" s="239" t="s">
        <v>18087</v>
      </c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201" t="str">
        <f>IF($L$4=0,"",IF(COUNTBLANK(I85:T85)=12,"",IF(COUNTBLANK(I87:T87)=12,"% rec.",IF(OR(COUNTIF(I87:T87,"x")&gt;1,COUNTIF(I87:T87,"xx")&gt;1,COUNTIF(I87:T87,"xxx")&gt;1,COUNTIF(I87:T87,"xxxx")&gt;1),"% rec.",""))))</f>
        <v/>
      </c>
      <c r="V87" s="268"/>
      <c r="W87" s="206" t="str">
        <f>IF(V87=0,"",SUM(X87:Z87))</f>
        <v/>
      </c>
      <c r="X87" s="546" t="str">
        <f>IF(V87=0,"",IF(SUM(AB87,AD87,AE87,AF87,AG87,AI87,AJ87)=0,"",(IF(MAX($AC$27:$AC$93)&lt;1,SUM(AB87,AD87,AE87,AF87,AG87,AI87,AJ87),IF(OR(V87=0,AB87=0),"",IF(AB87=1,SUM(AB87,AD87,AE87,AF87,AG87,AI87),0))))))</f>
        <v/>
      </c>
      <c r="Y87" s="546" t="str">
        <f>IF(OR(V87=0,SUM(AM87,AO87,AP87,AQ87)=0,V87="P"),"",SUM(AM87,AO87,AP87,AQ87))</f>
        <v/>
      </c>
      <c r="Z87" s="546" t="str">
        <f>IF(OR(V87=0,SUM(AS87,AU87,AW87,AY87,BA87,BC87)=0),"",IF(SUM(AU87,AW87,AY87,BA87)=0,"",SUM(AU87,AW87,AY87,BA87)))</f>
        <v/>
      </c>
      <c r="AB87" s="556">
        <f>IF(V87=0,0,IF(AND(V87&lt;5,SUM($AB$27:AB81)&lt;4),1,0))</f>
        <v>0</v>
      </c>
      <c r="AC87" s="556">
        <f>IF(OR(V87=0,V87&gt;4.9),0,V87)</f>
        <v>0</v>
      </c>
      <c r="AD87" s="556">
        <f>IF(AC87&lt;1,0,IF($AB$98=4,0,IF(SUM($AB$98,$AD$27:AD81)=4,0,IF(MAX($AC$27:$AC$93)=AC87,1,0))))</f>
        <v>0</v>
      </c>
      <c r="AE87" s="556">
        <f>IF($AB$98=4,0,IF(SUM($AB$98,$AD$98,$AE$27:AE81)=4,0,IF(AND($AC$99=1,AC87&gt;0.99),1,IF(AND($AC$98=1,$AC$99=1,AD87=0,AC87&gt;0),1,IF(AND($AC$99=2,AD87=0,AC87&gt;0.99),1,0)))))</f>
        <v>0</v>
      </c>
      <c r="AF87" s="556">
        <f>IF(AND($AB$98=1,AC87&gt;0.99),1,0)</f>
        <v>0</v>
      </c>
      <c r="AG87" s="556">
        <f>IF($AN$98&lt;9,0,IF($AC$99=0,BC87))</f>
        <v>0</v>
      </c>
      <c r="AH87" s="556">
        <f>IF(AND(MAX($AC$27:$AC$93)&lt;1,AN87&gt;4.9),1,0)</f>
        <v>0</v>
      </c>
      <c r="AI87" s="556">
        <f>IF(AH87=0,0,IF(SUM($AC$98,$AG$98,$AH$27:AH81)&gt;3,0,1))</f>
        <v>0</v>
      </c>
      <c r="AJ87" s="556">
        <f>IF(AND(SUM($AI$98,$AC$98,$AG$98)=3,AI87=1,SUM($AI$27:AI81)=0),1,0)</f>
        <v>0</v>
      </c>
      <c r="AK87" s="556"/>
      <c r="AM87" s="556">
        <f>IF(OR(ISTEXT(V87)=TRUE(),V87=0),0,IF(AND(V87&gt;4.9,SUM($AM$27:AM81)&lt;4),1,0))</f>
        <v>0</v>
      </c>
      <c r="AN87" s="556">
        <f>IF(OR(V87=0,ISTEXT(V87)=TRUE(),V87&lt;5),0,V87)</f>
        <v>0</v>
      </c>
      <c r="AO87" s="556">
        <f>IF($AM$98=4,0,IF(SUM($AM$98,$AO$27:AO81)=4,0,IF(MAX($AN$27:$AN$93)=AN87,1,0)))</f>
        <v>0</v>
      </c>
      <c r="AP87" s="556">
        <f>IF($AN$98&gt;2,0,IF(AND(LARGE($AN$27:$AN$93,2)&lt;24.1,AO87=1),1,IF(AND((LARGE($AN$27:$AN$93,2))=AN87,$AM$98=2,AN87&gt;24),1,0)))</f>
        <v>0</v>
      </c>
      <c r="AQ87" s="556">
        <f>IF(AND($AM$98=1,AN87&gt;0),1,0)</f>
        <v>0</v>
      </c>
      <c r="AS87" s="556">
        <f>IF(AND($AN$98&gt;4,V87&gt;4.9,SUM(AM87,AO87:AQ87)=0),1,0)</f>
        <v>0</v>
      </c>
      <c r="AT87" s="556">
        <f>IF(AND($AN$98&gt;4,AS87=0),0,AN87-SUM(AM87,AO87:AQ87)*10)</f>
        <v>0</v>
      </c>
      <c r="AU87" s="556">
        <f>IF(SUM($AU$27:AU81)=1,0,IF(AT87=$AT$99,1,0))</f>
        <v>0</v>
      </c>
      <c r="AV87" s="556">
        <f>IF(AND($AN$98&gt;5,SUM(AM87,AO87:AQ87,AU87)=1),0,AN87-SUM(AM87,AO87:AQ87,AU87)*10)</f>
        <v>0</v>
      </c>
      <c r="AW87" s="556">
        <f>IF(SUM($AW$27:AW81)=1,0,IF(AV87=$AV$98,1,0))</f>
        <v>0</v>
      </c>
      <c r="AX87" s="556">
        <f>IF(AND($AN$98&gt;6,SUM(AM87,AO87:AQ87,AU87,AW87)=1),0,AN87-SUM(AM87,AO87:AQ87,AU87,AW87)*10)</f>
        <v>0</v>
      </c>
      <c r="AY87" s="556">
        <f>IF(SUM($AY$27:AY81)=1,0,IF(AX87=$AX$98,1,0))</f>
        <v>0</v>
      </c>
      <c r="AZ87" s="556">
        <f>IF(AND($AN$98&gt;7,SUM(AM87,AO87:AQ87,AU87,AW87,AY87)=1),0,AN87-SUM(AM87,AO87:AQ87,AU87,AW87,AY87)*10)</f>
        <v>0</v>
      </c>
      <c r="BA87" s="556">
        <f>IF(SUM($BA$27:BA81)=1,0,IF(AZ87=$AZ$98,1,0))</f>
        <v>0</v>
      </c>
      <c r="BB87" s="556">
        <f>IF($AN$98&lt;8,0,IF(AND($AN$98&gt;8,SUM(AM87,AO87:AQ87,AU87,AW87,AY87,BA87)=0),AN87,0))</f>
        <v>0</v>
      </c>
      <c r="BC87" s="556">
        <f>IF(SUM($BC$27:BC81)=1,0,IF(BB87=0,0,IF(BB87=$BB$98,1,0)))</f>
        <v>0</v>
      </c>
      <c r="BD87" s="235" t="str">
        <f t="shared" ref="BD87:BO87" si="10">IF(I87=0,"",IF(I87="A",1,IF(I87="B",2,IF(I87="C",3,FALSE()))))</f>
        <v/>
      </c>
      <c r="BE87" s="234" t="str">
        <f t="shared" si="10"/>
        <v/>
      </c>
      <c r="BF87" s="232" t="str">
        <f t="shared" si="10"/>
        <v/>
      </c>
      <c r="BG87" s="235" t="str">
        <f t="shared" si="10"/>
        <v/>
      </c>
      <c r="BH87" s="234" t="str">
        <f t="shared" si="10"/>
        <v/>
      </c>
      <c r="BI87" s="232" t="str">
        <f t="shared" si="10"/>
        <v/>
      </c>
      <c r="BJ87" s="235" t="str">
        <f t="shared" si="10"/>
        <v/>
      </c>
      <c r="BK87" s="234" t="str">
        <f t="shared" si="10"/>
        <v/>
      </c>
      <c r="BL87" s="232" t="str">
        <f t="shared" si="10"/>
        <v/>
      </c>
      <c r="BM87" s="235" t="str">
        <f t="shared" si="10"/>
        <v/>
      </c>
      <c r="BN87" s="234" t="str">
        <f t="shared" si="10"/>
        <v/>
      </c>
      <c r="BO87" s="232" t="str">
        <f t="shared" si="10"/>
        <v/>
      </c>
      <c r="BP87" s="233">
        <f>COUNTIF(BD87:BO87,1)</f>
        <v>0</v>
      </c>
      <c r="BQ87" s="232">
        <f>COUNTIF(BD87:BO87,2)</f>
        <v>0</v>
      </c>
      <c r="BR87" s="232">
        <f>COUNTIF(BD87:BO87,3)</f>
        <v>0</v>
      </c>
      <c r="BS87" s="232"/>
      <c r="BT87" s="232"/>
      <c r="BU87" s="232"/>
      <c r="BV87" s="232"/>
      <c r="BW87" s="232"/>
      <c r="BX87" s="232"/>
      <c r="BY87" s="232"/>
      <c r="BZ87" s="232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2"/>
      <c r="CO87" s="232"/>
      <c r="CP87" s="232"/>
    </row>
    <row r="88" spans="1:94" ht="14.85" customHeight="1">
      <c r="A88" s="255" t="s">
        <v>18095</v>
      </c>
      <c r="B88" s="248"/>
      <c r="C88" s="248"/>
      <c r="D88" s="260"/>
      <c r="E88" s="197"/>
      <c r="F88" s="241"/>
      <c r="G88" s="240" t="s">
        <v>26</v>
      </c>
      <c r="H88" s="239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201"/>
      <c r="V88" s="222"/>
      <c r="W88" s="246"/>
      <c r="X88" s="546"/>
      <c r="Y88" s="546"/>
      <c r="Z88" s="546"/>
      <c r="AB88" s="557"/>
      <c r="AC88" s="557"/>
      <c r="AD88" s="557"/>
      <c r="AE88" s="557"/>
      <c r="AF88" s="557"/>
      <c r="AG88" s="557"/>
      <c r="AH88" s="557"/>
      <c r="AI88" s="557"/>
      <c r="AJ88" s="557"/>
      <c r="AK88" s="557"/>
      <c r="AM88" s="557"/>
      <c r="AN88" s="557"/>
      <c r="AO88" s="557"/>
      <c r="AP88" s="557"/>
      <c r="AQ88" s="557"/>
      <c r="AS88" s="557"/>
      <c r="AT88" s="557"/>
      <c r="AU88" s="557"/>
      <c r="AV88" s="557"/>
      <c r="AW88" s="557"/>
      <c r="AX88" s="557"/>
      <c r="AY88" s="557"/>
      <c r="AZ88" s="557"/>
      <c r="BA88" s="557"/>
      <c r="BB88" s="557"/>
      <c r="BC88" s="557"/>
      <c r="BD88" s="235"/>
      <c r="BE88" s="234"/>
      <c r="BF88" s="232"/>
      <c r="BG88" s="235"/>
      <c r="BH88" s="234"/>
      <c r="BI88" s="232"/>
      <c r="BJ88" s="235"/>
      <c r="BK88" s="234"/>
      <c r="BL88" s="232"/>
      <c r="BM88" s="235"/>
      <c r="BN88" s="234"/>
      <c r="BO88" s="232"/>
      <c r="BP88" s="233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2"/>
      <c r="CL88" s="232"/>
      <c r="CM88" s="232"/>
      <c r="CN88" s="232"/>
      <c r="CO88" s="232"/>
      <c r="CP88" s="232"/>
    </row>
    <row r="89" spans="1:94" ht="14.85" customHeight="1">
      <c r="A89" s="255" t="s">
        <v>18094</v>
      </c>
      <c r="B89" s="244"/>
      <c r="C89" s="244"/>
      <c r="D89" s="243"/>
      <c r="E89" s="242"/>
      <c r="F89" s="241"/>
      <c r="G89" s="240"/>
      <c r="H89" s="239" t="s">
        <v>18089</v>
      </c>
      <c r="I89" s="671"/>
      <c r="J89" s="669"/>
      <c r="K89" s="369"/>
      <c r="L89" s="671"/>
      <c r="M89" s="669"/>
      <c r="N89" s="369"/>
      <c r="O89" s="671"/>
      <c r="P89" s="669"/>
      <c r="Q89" s="369"/>
      <c r="R89" s="671"/>
      <c r="S89" s="669"/>
      <c r="T89" s="369"/>
      <c r="U89" s="201"/>
      <c r="V89" s="222"/>
      <c r="W89" s="246"/>
      <c r="X89" s="546"/>
      <c r="Y89" s="546"/>
      <c r="Z89" s="546"/>
      <c r="AB89" s="557"/>
      <c r="AC89" s="557"/>
      <c r="AD89" s="557"/>
      <c r="AE89" s="557"/>
      <c r="AF89" s="557"/>
      <c r="AG89" s="557"/>
      <c r="AH89" s="557"/>
      <c r="AI89" s="557"/>
      <c r="AJ89" s="557"/>
      <c r="AK89" s="557"/>
      <c r="AM89" s="557"/>
      <c r="AN89" s="557"/>
      <c r="AO89" s="557"/>
      <c r="AP89" s="557"/>
      <c r="AQ89" s="557"/>
      <c r="AS89" s="557"/>
      <c r="AT89" s="557"/>
      <c r="AU89" s="557"/>
      <c r="AV89" s="557"/>
      <c r="AW89" s="557"/>
      <c r="AX89" s="557"/>
      <c r="AY89" s="557"/>
      <c r="AZ89" s="557"/>
      <c r="BA89" s="557"/>
      <c r="BB89" s="557"/>
      <c r="BC89" s="557"/>
      <c r="BD89" s="235"/>
      <c r="BE89" s="234"/>
      <c r="BF89" s="232"/>
      <c r="BG89" s="235"/>
      <c r="BH89" s="234"/>
      <c r="BI89" s="232"/>
      <c r="BJ89" s="235"/>
      <c r="BK89" s="234"/>
      <c r="BL89" s="232"/>
      <c r="BM89" s="235"/>
      <c r="BN89" s="234"/>
      <c r="BO89" s="232"/>
      <c r="BP89" s="233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32"/>
      <c r="CB89" s="232"/>
      <c r="CC89" s="232"/>
      <c r="CD89" s="232"/>
      <c r="CE89" s="232"/>
      <c r="CF89" s="232"/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</row>
    <row r="90" spans="1:94" ht="14.85" customHeight="1" thickBot="1">
      <c r="A90" s="267"/>
      <c r="B90" s="266"/>
      <c r="C90" s="266"/>
      <c r="D90" s="265"/>
      <c r="E90" s="264"/>
      <c r="F90" s="227"/>
      <c r="G90" s="226"/>
      <c r="H90" s="225"/>
      <c r="I90" s="672"/>
      <c r="J90" s="670"/>
      <c r="K90" s="369"/>
      <c r="L90" s="672"/>
      <c r="M90" s="670"/>
      <c r="N90" s="370"/>
      <c r="O90" s="672"/>
      <c r="P90" s="670"/>
      <c r="Q90" s="369"/>
      <c r="R90" s="672"/>
      <c r="S90" s="670"/>
      <c r="T90" s="369"/>
      <c r="U90" s="263"/>
      <c r="V90" s="262"/>
      <c r="W90" s="261"/>
      <c r="X90" s="566"/>
      <c r="Y90" s="566"/>
      <c r="Z90" s="566"/>
      <c r="AB90" s="558"/>
      <c r="AC90" s="558"/>
      <c r="AD90" s="558"/>
      <c r="AE90" s="558"/>
      <c r="AF90" s="558"/>
      <c r="AG90" s="558"/>
      <c r="AH90" s="558"/>
      <c r="AI90" s="558"/>
      <c r="AJ90" s="558"/>
      <c r="AK90" s="558"/>
      <c r="AM90" s="558"/>
      <c r="AN90" s="558"/>
      <c r="AO90" s="558"/>
      <c r="AP90" s="558"/>
      <c r="AQ90" s="558"/>
      <c r="AS90" s="558"/>
      <c r="AT90" s="558"/>
      <c r="AU90" s="558"/>
      <c r="AV90" s="558"/>
      <c r="AW90" s="558"/>
      <c r="AX90" s="558"/>
      <c r="AY90" s="558"/>
      <c r="AZ90" s="558"/>
      <c r="BA90" s="558"/>
      <c r="BB90" s="558"/>
      <c r="BC90" s="558"/>
      <c r="BD90" s="221"/>
      <c r="BE90" s="220"/>
      <c r="BF90" s="218"/>
      <c r="BG90" s="221"/>
      <c r="BH90" s="220"/>
      <c r="BI90" s="218"/>
      <c r="BJ90" s="221"/>
      <c r="BK90" s="220"/>
      <c r="BL90" s="218"/>
      <c r="BM90" s="221"/>
      <c r="BN90" s="220"/>
      <c r="BO90" s="218"/>
      <c r="BP90" s="219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</row>
    <row r="91" spans="1:94" ht="14.85" customHeight="1">
      <c r="A91" s="255"/>
      <c r="B91" s="248"/>
      <c r="C91" s="248"/>
      <c r="D91" s="260"/>
      <c r="E91" s="197"/>
      <c r="F91" s="241"/>
      <c r="G91" s="240"/>
      <c r="H91" s="239" t="s">
        <v>18093</v>
      </c>
      <c r="I91" s="661"/>
      <c r="J91" s="654"/>
      <c r="K91" s="367"/>
      <c r="L91" s="661"/>
      <c r="M91" s="654">
        <v>7</v>
      </c>
      <c r="N91" s="367"/>
      <c r="O91" s="661"/>
      <c r="P91" s="654">
        <v>10</v>
      </c>
      <c r="Q91" s="367"/>
      <c r="R91" s="661"/>
      <c r="S91" s="654"/>
      <c r="T91" s="367"/>
      <c r="U91" s="238" t="str">
        <f>IF($L$4=0,"",IF(COUNTA(I91:T92)=W93,"",IF(AND(COUNTA(I91:T92)=0,V93=0),"","Nb.prel")))</f>
        <v/>
      </c>
      <c r="V91" s="253"/>
      <c r="W91" s="246"/>
      <c r="X91" s="546"/>
      <c r="Y91" s="546"/>
      <c r="Z91" s="546"/>
      <c r="AB91" s="551"/>
      <c r="AC91" s="551"/>
      <c r="AD91" s="551"/>
      <c r="AE91" s="551"/>
      <c r="AF91" s="551"/>
      <c r="AG91" s="551"/>
      <c r="AH91" s="551"/>
      <c r="AI91" s="551"/>
      <c r="AJ91" s="551"/>
      <c r="AK91" s="551"/>
      <c r="AM91" s="551"/>
      <c r="AN91" s="551"/>
      <c r="AO91" s="551"/>
      <c r="AP91" s="551"/>
      <c r="AQ91" s="551"/>
      <c r="AS91" s="551"/>
      <c r="AT91" s="551"/>
      <c r="AU91" s="551"/>
      <c r="AV91" s="551"/>
      <c r="AW91" s="551"/>
      <c r="AX91" s="551"/>
      <c r="AY91" s="551"/>
      <c r="AZ91" s="551"/>
      <c r="BA91" s="551"/>
      <c r="BB91" s="551"/>
      <c r="BC91" s="551"/>
      <c r="BD91" s="259">
        <f>COUNTIF(I91:K91,"&gt;0")</f>
        <v>0</v>
      </c>
      <c r="BE91" s="258"/>
      <c r="BF91" s="256"/>
      <c r="BG91" s="259">
        <f>COUNTIF(L91:N91,"&gt;0")</f>
        <v>1</v>
      </c>
      <c r="BH91" s="258"/>
      <c r="BI91" s="256"/>
      <c r="BJ91" s="259">
        <f>COUNTIF(O91:Q91,"&gt;0")</f>
        <v>1</v>
      </c>
      <c r="BK91" s="258"/>
      <c r="BL91" s="256"/>
      <c r="BM91" s="259">
        <f>COUNTIF(R91:T91,"&gt;0")</f>
        <v>0</v>
      </c>
      <c r="BN91" s="258"/>
      <c r="BO91" s="256"/>
      <c r="BP91" s="257"/>
      <c r="BQ91" s="256"/>
      <c r="BR91" s="256"/>
      <c r="BS91" s="256">
        <f>COUNTIF(I91:T91,1)</f>
        <v>0</v>
      </c>
      <c r="BT91" s="256">
        <f>COUNTIF(I91:T91,2)</f>
        <v>0</v>
      </c>
      <c r="BU91" s="256">
        <f>COUNTIF(I91:T91,3)</f>
        <v>0</v>
      </c>
      <c r="BV91" s="256">
        <f>COUNTIF(I91:T91,4)</f>
        <v>0</v>
      </c>
      <c r="BW91" s="256">
        <f>COUNTIF(I91:T91,5)</f>
        <v>0</v>
      </c>
      <c r="BX91" s="256">
        <f>COUNTIF(I91:T91,6)</f>
        <v>0</v>
      </c>
      <c r="BY91" s="256">
        <f>COUNTIF(I91:T91,7)</f>
        <v>1</v>
      </c>
      <c r="BZ91" s="256">
        <f>COUNTIF(I91:T91,8)</f>
        <v>0</v>
      </c>
      <c r="CA91" s="256">
        <f>COUNTIF(I91:T91,9)</f>
        <v>0</v>
      </c>
      <c r="CB91" s="256">
        <f>COUNTIF(I91:T91,10)</f>
        <v>1</v>
      </c>
      <c r="CC91" s="256">
        <f>COUNTIF(I91:T91,11)</f>
        <v>0</v>
      </c>
      <c r="CD91" s="256">
        <f>COUNTIF(I91:T91,12)</f>
        <v>0</v>
      </c>
      <c r="CE91" s="256">
        <f>IF(BS91=0,0,HLOOKUP(1,$I$92:$T$97,3,FALSE()))</f>
        <v>0</v>
      </c>
      <c r="CF91" s="256">
        <f>IF(BT91=0,0,HLOOKUP(2,$I$92:$T$97,3,FALSE()))</f>
        <v>0</v>
      </c>
      <c r="CG91" s="256">
        <f>IF(BU91=0,0,HLOOKUP(3,$I$92:$T$97,3,FALSE()))</f>
        <v>0</v>
      </c>
      <c r="CH91" s="256">
        <f>IF(BV91=0,0,HLOOKUP(4,$I$92:$T$97,3,FALSE()))</f>
        <v>0</v>
      </c>
      <c r="CI91" s="256">
        <f>IF(BW91=0,0,HLOOKUP(5,$I$92:$T$97,3,FALSE()))</f>
        <v>0</v>
      </c>
      <c r="CJ91" s="256">
        <f>IF(BX91=0,0,HLOOKUP(6,$I$92:$T$97,3,FALSE()))</f>
        <v>0</v>
      </c>
      <c r="CK91" s="256" t="e">
        <f>IF(BY91=0,0,HLOOKUP(7,$I$92:$T$97,3,FALSE()))</f>
        <v>#N/A</v>
      </c>
      <c r="CL91" s="256">
        <f>IF(BZ91=0,0,HLOOKUP(8,$I$92:$T$97,3,FALSE()))</f>
        <v>0</v>
      </c>
      <c r="CM91" s="256">
        <f>IF(CA91=0,0,HLOOKUP(9,$I$92:$T$97,3,FALSE()))</f>
        <v>0</v>
      </c>
      <c r="CN91" s="256" t="e">
        <f>IF(CB91=0,0,HLOOKUP(10,$I$92:$T$97,3,FALSE()))</f>
        <v>#N/A</v>
      </c>
      <c r="CO91" s="256">
        <f>IF(CC91=0,0,HLOOKUP(11,$I$92:$T$97,3,FALSE()))</f>
        <v>0</v>
      </c>
      <c r="CP91" s="256">
        <f>IF(CD91=0,0,HLOOKUP(12,$I$92:$T$97,3,FALSE()))</f>
        <v>0</v>
      </c>
    </row>
    <row r="92" spans="1:94" ht="14.85" customHeight="1">
      <c r="A92" s="255" t="s">
        <v>18016</v>
      </c>
      <c r="B92" s="248"/>
      <c r="C92" s="248"/>
      <c r="D92" s="659"/>
      <c r="E92" s="659"/>
      <c r="F92" s="241"/>
      <c r="G92" s="240"/>
      <c r="H92" s="254"/>
      <c r="I92" s="662"/>
      <c r="J92" s="655"/>
      <c r="K92" s="368"/>
      <c r="L92" s="662"/>
      <c r="M92" s="655"/>
      <c r="N92" s="368"/>
      <c r="O92" s="662"/>
      <c r="P92" s="655"/>
      <c r="Q92" s="368"/>
      <c r="R92" s="662"/>
      <c r="S92" s="655"/>
      <c r="T92" s="368"/>
      <c r="U92" s="238"/>
      <c r="V92" s="253"/>
      <c r="W92" s="246"/>
      <c r="X92" s="546"/>
      <c r="Y92" s="546"/>
      <c r="Z92" s="546"/>
      <c r="AB92" s="557"/>
      <c r="AC92" s="557"/>
      <c r="AD92" s="557"/>
      <c r="AE92" s="557"/>
      <c r="AF92" s="557"/>
      <c r="AG92" s="557"/>
      <c r="AH92" s="557"/>
      <c r="AI92" s="557"/>
      <c r="AJ92" s="557"/>
      <c r="AK92" s="557"/>
      <c r="AM92" s="557"/>
      <c r="AN92" s="557"/>
      <c r="AO92" s="557"/>
      <c r="AP92" s="557"/>
      <c r="AQ92" s="557"/>
      <c r="AS92" s="557"/>
      <c r="AT92" s="557"/>
      <c r="AU92" s="557"/>
      <c r="AV92" s="557"/>
      <c r="AW92" s="557"/>
      <c r="AX92" s="557"/>
      <c r="AY92" s="557"/>
      <c r="AZ92" s="557"/>
      <c r="BA92" s="557"/>
      <c r="BB92" s="557"/>
      <c r="BC92" s="557"/>
      <c r="BD92" s="252"/>
      <c r="BE92" s="251"/>
      <c r="BF92" s="249"/>
      <c r="BG92" s="252"/>
      <c r="BH92" s="251"/>
      <c r="BI92" s="249"/>
      <c r="BJ92" s="252"/>
      <c r="BK92" s="251"/>
      <c r="BL92" s="249"/>
      <c r="BM92" s="252"/>
      <c r="BN92" s="251"/>
      <c r="BO92" s="249"/>
      <c r="BP92" s="250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</row>
    <row r="93" spans="1:94" ht="14.85" customHeight="1">
      <c r="A93" s="245" t="s">
        <v>18092</v>
      </c>
      <c r="B93" s="248"/>
      <c r="C93" s="248"/>
      <c r="D93" s="659" t="s">
        <v>18091</v>
      </c>
      <c r="E93" s="659"/>
      <c r="F93" s="241"/>
      <c r="G93" s="240"/>
      <c r="H93" s="239" t="s">
        <v>18087</v>
      </c>
      <c r="I93" s="660" t="s">
        <v>17942</v>
      </c>
      <c r="J93" s="660"/>
      <c r="K93" s="660"/>
      <c r="L93" s="660" t="s">
        <v>17916</v>
      </c>
      <c r="M93" s="660"/>
      <c r="N93" s="660"/>
      <c r="O93" s="660" t="s">
        <v>17930</v>
      </c>
      <c r="P93" s="660"/>
      <c r="Q93" s="660"/>
      <c r="R93" s="660" t="s">
        <v>17961</v>
      </c>
      <c r="S93" s="660"/>
      <c r="T93" s="660"/>
      <c r="U93" s="238" t="str">
        <f>IF($L$4=0,"",IF(COUNTBLANK(I91:T91)=12,"",IF(COUNTBLANK(I93:T93)=12,"% rec.",IF(OR(COUNTIF(I93:T93,"x")&gt;1,COUNTIF(I93:T93,"xx")&gt;1,COUNTIF(I93:T93,"xxx")&gt;1,COUNTIF(I93:T93,"xxxx")&gt;1),"% rec.",""))))</f>
        <v/>
      </c>
      <c r="V93" s="247">
        <v>30</v>
      </c>
      <c r="W93" s="206">
        <f>IF(V93=0,"",SUM(X93:Z93))</f>
        <v>2</v>
      </c>
      <c r="X93" s="546" t="str">
        <f>IF(V93=0,"",IF(SUM(AB93,AD93,AE93,AF93,AG93,AI93,AJ93)=0,"",(IF(MAX($AC$27:$AC$93)&lt;1,SUM(AB93,AD93,AE93,AF93,AG93,AI93,AJ93),IF(OR(V93=0,AB93=0),"",IF(AB93=1,SUM(AB93,AD93,AE93,AF93,AG93,AI93),0))))))</f>
        <v/>
      </c>
      <c r="Y93" s="546">
        <f>IF(OR(V93=0,SUM(AM93,AO93,AP93,AQ93)=0,V93="P"),"",SUM(AM93,AO93,AP93,AQ93))</f>
        <v>1</v>
      </c>
      <c r="Z93" s="546">
        <f>IF(OR(V93=0,SUM(AS93,AU93,AW93,AY93,BA93,BC93)=0),"",IF(SUM(AU93,AW93,AY93,BA93)=0,"",SUM(AU93,AW93,AY93,BA93)))</f>
        <v>1</v>
      </c>
      <c r="AB93" s="556">
        <f>IF(V93=0,0,IF(AND(V93&lt;5,SUM($AB$27:AB87)&lt;4),1,0))</f>
        <v>0</v>
      </c>
      <c r="AC93" s="556">
        <f>IF(OR(V93=0,V93&gt;4.9),0,V93)</f>
        <v>0</v>
      </c>
      <c r="AD93" s="556">
        <f>IF(AC93&lt;1,0,IF($AB$98=4,0,IF(SUM($AB$98,$AD$27:AD87)=4,0,IF(MAX($AC$27:$AC$93)=AC93,1,0))))</f>
        <v>0</v>
      </c>
      <c r="AE93" s="556">
        <f>IF($AB$98=4,0,IF(SUM($AB$98,$AD$98,$AE$27:AE87)=4,0,IF(AND($AC$99=1,AC93&gt;0.99),1,IF(AND($AC$98=1,$AC$99=1,AD93=0,AC93&gt;0),1,IF(AND($AC$99=2,AD93=0,AC93&gt;0.99),1,0)))))</f>
        <v>0</v>
      </c>
      <c r="AF93" s="556">
        <f>IF(AND($AB$98=1,AC93&gt;0.99),1,0)</f>
        <v>0</v>
      </c>
      <c r="AG93" s="556">
        <f>IF($AN$98&lt;9,0,IF($AC$99=0,BC93))</f>
        <v>0</v>
      </c>
      <c r="AH93" s="556">
        <f>IF(AND($AB$98=1,AN93&gt;5),1,0)</f>
        <v>0</v>
      </c>
      <c r="AI93" s="556">
        <f>IF(AH93=0,0,IF(SUM($AC$98,$AG$98,$AH$27:AH87)&gt;3,0,1))</f>
        <v>0</v>
      </c>
      <c r="AJ93" s="556">
        <f>IF(AND(SUM($AI$98,$AC$98,$AG$98)=3,AI93=1,SUM($AI$27:AI87)=0),1,0)</f>
        <v>0</v>
      </c>
      <c r="AK93" s="556"/>
      <c r="AM93" s="556">
        <f>IF(OR(ISTEXT(V93)=TRUE(),V93=0),0,IF(AND(V93&gt;4.9,SUM($AM$27:AM87)&lt;4),1,0))</f>
        <v>1</v>
      </c>
      <c r="AN93" s="556">
        <f>IF(OR(V93=0,ISTEXT(V93)=TRUE(),V93&lt;5),0,V93)</f>
        <v>30</v>
      </c>
      <c r="AO93" s="556">
        <f>IF($AM$98=4,0,IF(SUM($AM$98,$AO$27:AO87)=4,0,IF(MAX($AN$27:$AN$93)=AN93,1,0)))</f>
        <v>0</v>
      </c>
      <c r="AP93" s="556">
        <f>IF($AN$98&gt;2,0,IF(AND(LARGE($AN$27:$AN$93,2)&lt;24.1,AO93=1),1,IF(AND((LARGE($AN$27:$AN$93,2))=AN93,$AM$98=2,AN93&gt;24),1,0)))</f>
        <v>0</v>
      </c>
      <c r="AQ93" s="556">
        <f>IF(AND($AM$98=1,AN93&gt;0),1,0)</f>
        <v>0</v>
      </c>
      <c r="AS93" s="556">
        <f>IF(AND($AN$98&gt;4,V93&gt;4.9,SUM(AM93,AO93:AQ93)=0),1,0)</f>
        <v>0</v>
      </c>
      <c r="AT93" s="556">
        <f>IF(AND($AN$98&gt;4,AS93=0),0,AN93-SUM(AM93,AO93:AQ93)*10)</f>
        <v>20</v>
      </c>
      <c r="AU93" s="556">
        <f>IF(SUM($AU$27:AU87)=1,0,IF(AT93=$AT$99,1,0))</f>
        <v>0</v>
      </c>
      <c r="AV93" s="556">
        <f>IF(AND($AN$98&gt;5,SUM(AM93,AO93:AQ93,AU93)=1),0,AN93-SUM(AM93,AO93:AQ93,AU93)*10)</f>
        <v>20</v>
      </c>
      <c r="AW93" s="556">
        <f>IF(SUM($AW$27:AW87)=1,0,IF(AV93=$AV$98,1,0))</f>
        <v>1</v>
      </c>
      <c r="AX93" s="556">
        <f>IF(AND($AN$98&gt;6,SUM(AM93,AO93:AQ93,AU93,AW93)=1),0,AN93-SUM(AM93,AO93:AQ93,AU93,AW93)*10)</f>
        <v>10</v>
      </c>
      <c r="AY93" s="556">
        <f>IF(SUM($AY$27:AY87)=1,0,IF(AX93=$AX$98,1,0))</f>
        <v>0</v>
      </c>
      <c r="AZ93" s="556">
        <f>IF(AND($AN$98&gt;7,SUM(AM93,AO93:AQ93,AU93,AW93,AY93)=1),0,AN93-SUM(AM93,AO93:AQ93,AU93,AW93,AY93)*10)</f>
        <v>10</v>
      </c>
      <c r="BA93" s="556">
        <f>IF(SUM($BA$27:BA87)=1,0,IF(AZ93=$AZ$98,1,0))</f>
        <v>0</v>
      </c>
      <c r="BB93" s="556">
        <f>IF($AN$98&lt;8,0,IF(AND($AN$98&gt;8,SUM(AM93,AO93:AQ93,AU93,AW93,AY93,BA93)=0),AN93,0))</f>
        <v>0</v>
      </c>
      <c r="BC93" s="556">
        <f>IF(SUM($BC$27:BC87)=1,0,IF(BB93=0,0,IF(BB93=$BB$98,1,0)))</f>
        <v>0</v>
      </c>
      <c r="BD93" s="235" t="b">
        <f t="shared" ref="BD93:BO93" si="11">IF(I93=0,"",IF(I93="A",1,IF(I93="B",2,IF(I93="C",3,FALSE()))))</f>
        <v>0</v>
      </c>
      <c r="BE93" s="234" t="str">
        <f t="shared" si="11"/>
        <v/>
      </c>
      <c r="BF93" s="232" t="str">
        <f t="shared" si="11"/>
        <v/>
      </c>
      <c r="BG93" s="235" t="b">
        <f t="shared" si="11"/>
        <v>0</v>
      </c>
      <c r="BH93" s="234" t="str">
        <f t="shared" si="11"/>
        <v/>
      </c>
      <c r="BI93" s="232" t="str">
        <f t="shared" si="11"/>
        <v/>
      </c>
      <c r="BJ93" s="235" t="b">
        <f t="shared" si="11"/>
        <v>0</v>
      </c>
      <c r="BK93" s="234" t="str">
        <f t="shared" si="11"/>
        <v/>
      </c>
      <c r="BL93" s="232" t="str">
        <f t="shared" si="11"/>
        <v/>
      </c>
      <c r="BM93" s="235" t="b">
        <f t="shared" si="11"/>
        <v>0</v>
      </c>
      <c r="BN93" s="234" t="str">
        <f t="shared" si="11"/>
        <v/>
      </c>
      <c r="BO93" s="232" t="str">
        <f t="shared" si="11"/>
        <v/>
      </c>
      <c r="BP93" s="233">
        <f>COUNTIF(BD93:BO93,1)</f>
        <v>0</v>
      </c>
      <c r="BQ93" s="232">
        <f>COUNTIF(BD93:BO93,2)</f>
        <v>0</v>
      </c>
      <c r="BR93" s="232">
        <f>COUNTIF(BD93:BO93,3)</f>
        <v>0</v>
      </c>
      <c r="BS93" s="232"/>
      <c r="BT93" s="232"/>
      <c r="BU93" s="232"/>
      <c r="BV93" s="232"/>
      <c r="BW93" s="232"/>
      <c r="BX93" s="232"/>
      <c r="BY93" s="232"/>
      <c r="BZ93" s="232"/>
      <c r="CA93" s="232"/>
      <c r="CB93" s="232"/>
      <c r="CC93" s="232"/>
      <c r="CD93" s="232"/>
      <c r="CE93" s="232"/>
      <c r="CF93" s="232"/>
      <c r="CG93" s="232"/>
      <c r="CH93" s="232"/>
      <c r="CI93" s="232"/>
      <c r="CJ93" s="232"/>
      <c r="CK93" s="232"/>
      <c r="CL93" s="232"/>
      <c r="CM93" s="232"/>
      <c r="CN93" s="232"/>
      <c r="CO93" s="232"/>
      <c r="CP93" s="232"/>
    </row>
    <row r="94" spans="1:94" ht="14.85" customHeight="1">
      <c r="A94" s="245" t="s">
        <v>18090</v>
      </c>
      <c r="B94" s="244"/>
      <c r="C94" s="244"/>
      <c r="D94" s="243"/>
      <c r="E94" s="242"/>
      <c r="F94" s="241"/>
      <c r="G94" s="240" t="s">
        <v>29</v>
      </c>
      <c r="H94" s="239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238"/>
      <c r="V94" s="223"/>
      <c r="W94" s="246"/>
      <c r="X94" s="546"/>
      <c r="Y94" s="546"/>
      <c r="Z94" s="546"/>
      <c r="AB94" s="557"/>
      <c r="AC94" s="557"/>
      <c r="AD94" s="557"/>
      <c r="AE94" s="557"/>
      <c r="AF94" s="557"/>
      <c r="AG94" s="557"/>
      <c r="AH94" s="557"/>
      <c r="AI94" s="557"/>
      <c r="AJ94" s="557"/>
      <c r="AK94" s="557"/>
      <c r="AM94" s="557"/>
      <c r="AN94" s="557"/>
      <c r="AO94" s="557"/>
      <c r="AP94" s="557"/>
      <c r="AQ94" s="557"/>
      <c r="AS94" s="557"/>
      <c r="AT94" s="557"/>
      <c r="AU94" s="557"/>
      <c r="AV94" s="557"/>
      <c r="AW94" s="557"/>
      <c r="AX94" s="557"/>
      <c r="AY94" s="557"/>
      <c r="AZ94" s="557"/>
      <c r="BA94" s="557"/>
      <c r="BB94" s="557"/>
      <c r="BC94" s="557"/>
      <c r="BD94" s="235"/>
      <c r="BE94" s="234"/>
      <c r="BF94" s="232"/>
      <c r="BG94" s="235"/>
      <c r="BH94" s="234"/>
      <c r="BI94" s="232"/>
      <c r="BJ94" s="235"/>
      <c r="BK94" s="234"/>
      <c r="BL94" s="232"/>
      <c r="BM94" s="235"/>
      <c r="BN94" s="234"/>
      <c r="BO94" s="232"/>
      <c r="BP94" s="233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2"/>
      <c r="CE94" s="232"/>
      <c r="CF94" s="232"/>
      <c r="CG94" s="232"/>
      <c r="CH94" s="232"/>
      <c r="CI94" s="232"/>
      <c r="CJ94" s="232"/>
      <c r="CK94" s="232"/>
      <c r="CL94" s="232"/>
      <c r="CM94" s="232"/>
      <c r="CN94" s="232"/>
      <c r="CO94" s="232"/>
      <c r="CP94" s="232"/>
    </row>
    <row r="95" spans="1:94" ht="14.85" customHeight="1" thickBot="1">
      <c r="A95" s="245" t="s">
        <v>18018</v>
      </c>
      <c r="B95" s="244"/>
      <c r="C95" s="244"/>
      <c r="D95" s="243"/>
      <c r="E95" s="242"/>
      <c r="F95" s="241"/>
      <c r="G95" s="240"/>
      <c r="H95" s="239" t="s">
        <v>18089</v>
      </c>
      <c r="I95" s="671"/>
      <c r="J95" s="669"/>
      <c r="K95" s="369"/>
      <c r="L95" s="671"/>
      <c r="M95" s="669" t="s">
        <v>17941</v>
      </c>
      <c r="N95" s="369"/>
      <c r="O95" s="671"/>
      <c r="P95" s="669" t="s">
        <v>17929</v>
      </c>
      <c r="Q95" s="369"/>
      <c r="R95" s="671"/>
      <c r="S95" s="669"/>
      <c r="T95" s="369"/>
      <c r="U95" s="238"/>
      <c r="V95" s="237"/>
      <c r="W95" s="236"/>
      <c r="X95" s="567"/>
      <c r="Y95" s="567"/>
      <c r="Z95" s="567"/>
      <c r="AB95" s="557"/>
      <c r="AC95" s="557"/>
      <c r="AD95" s="557"/>
      <c r="AE95" s="557"/>
      <c r="AF95" s="557"/>
      <c r="AG95" s="557"/>
      <c r="AH95" s="557"/>
      <c r="AI95" s="557"/>
      <c r="AJ95" s="557"/>
      <c r="AK95" s="557"/>
      <c r="AM95" s="557"/>
      <c r="AN95" s="557"/>
      <c r="AO95" s="557"/>
      <c r="AP95" s="557"/>
      <c r="AQ95" s="557"/>
      <c r="AS95" s="557"/>
      <c r="AT95" s="557"/>
      <c r="AU95" s="557"/>
      <c r="AV95" s="557"/>
      <c r="AW95" s="557"/>
      <c r="AX95" s="557"/>
      <c r="AY95" s="557"/>
      <c r="AZ95" s="557"/>
      <c r="BA95" s="557"/>
      <c r="BB95" s="557"/>
      <c r="BC95" s="557"/>
      <c r="BD95" s="235"/>
      <c r="BE95" s="234"/>
      <c r="BF95" s="232"/>
      <c r="BG95" s="235"/>
      <c r="BH95" s="234"/>
      <c r="BI95" s="232"/>
      <c r="BJ95" s="235"/>
      <c r="BK95" s="234"/>
      <c r="BL95" s="232"/>
      <c r="BM95" s="235"/>
      <c r="BN95" s="234"/>
      <c r="BO95" s="232"/>
      <c r="BP95" s="233"/>
      <c r="BQ95" s="232"/>
      <c r="BR95" s="232"/>
      <c r="BS95" s="232"/>
      <c r="BT95" s="232"/>
      <c r="BU95" s="232"/>
      <c r="BV95" s="232"/>
      <c r="BW95" s="232"/>
      <c r="BX95" s="232"/>
      <c r="BY95" s="232"/>
      <c r="BZ95" s="232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2"/>
      <c r="CL95" s="232"/>
      <c r="CM95" s="232"/>
      <c r="CN95" s="232"/>
      <c r="CO95" s="232"/>
      <c r="CP95" s="232"/>
    </row>
    <row r="96" spans="1:94" ht="14.85" customHeight="1" thickBot="1">
      <c r="A96" s="231"/>
      <c r="B96" s="230"/>
      <c r="C96" s="230"/>
      <c r="D96" s="229"/>
      <c r="E96" s="228"/>
      <c r="F96" s="227"/>
      <c r="G96" s="226"/>
      <c r="H96" s="225"/>
      <c r="I96" s="672"/>
      <c r="J96" s="670"/>
      <c r="K96" s="370"/>
      <c r="L96" s="672"/>
      <c r="M96" s="670"/>
      <c r="N96" s="370"/>
      <c r="O96" s="672"/>
      <c r="P96" s="670"/>
      <c r="Q96" s="370"/>
      <c r="R96" s="672"/>
      <c r="S96" s="670"/>
      <c r="T96" s="370"/>
      <c r="U96" s="224"/>
      <c r="V96" s="223" t="s">
        <v>18081</v>
      </c>
      <c r="W96" s="222" t="s">
        <v>18081</v>
      </c>
      <c r="X96" s="222" t="s">
        <v>18081</v>
      </c>
      <c r="Y96" s="222" t="s">
        <v>18081</v>
      </c>
      <c r="Z96" s="222" t="s">
        <v>18081</v>
      </c>
      <c r="AB96" s="558"/>
      <c r="AC96" s="558"/>
      <c r="AD96" s="558"/>
      <c r="AE96" s="558"/>
      <c r="AF96" s="558"/>
      <c r="AG96" s="558"/>
      <c r="AH96" s="558"/>
      <c r="AI96" s="558"/>
      <c r="AJ96" s="558"/>
      <c r="AK96" s="558"/>
      <c r="AM96" s="558"/>
      <c r="AN96" s="558"/>
      <c r="AO96" s="558"/>
      <c r="AP96" s="558"/>
      <c r="AQ96" s="558"/>
      <c r="AS96" s="558"/>
      <c r="AT96" s="558"/>
      <c r="AU96" s="558"/>
      <c r="AV96" s="558"/>
      <c r="AW96" s="558"/>
      <c r="AX96" s="558"/>
      <c r="AY96" s="558"/>
      <c r="AZ96" s="558"/>
      <c r="BA96" s="558"/>
      <c r="BB96" s="558"/>
      <c r="BC96" s="558"/>
      <c r="BD96" s="221"/>
      <c r="BE96" s="220"/>
      <c r="BF96" s="218"/>
      <c r="BG96" s="221"/>
      <c r="BH96" s="220"/>
      <c r="BI96" s="218"/>
      <c r="BJ96" s="221"/>
      <c r="BK96" s="220"/>
      <c r="BL96" s="218"/>
      <c r="BM96" s="221"/>
      <c r="BN96" s="220"/>
      <c r="BO96" s="218"/>
      <c r="BP96" s="219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</row>
    <row r="97" spans="1:94" ht="14.85" customHeight="1">
      <c r="A97" s="199"/>
      <c r="B97" s="199"/>
      <c r="C97" s="199"/>
      <c r="D97" s="426" t="s">
        <v>18088</v>
      </c>
      <c r="E97" s="427"/>
      <c r="F97" s="427"/>
      <c r="G97" s="427"/>
      <c r="H97" s="427"/>
      <c r="I97" s="428"/>
      <c r="J97" s="391">
        <f>COUNTA(I91:K92,I85:K86,I79:K80,I73:K74,I67:K68,I61:K62,I55:K56,I49:K50,I43:K44,I37:K38,I31:K32,I25:K26)</f>
        <v>1</v>
      </c>
      <c r="K97" s="429"/>
      <c r="L97" s="430"/>
      <c r="M97" s="391">
        <f>COUNTA(L91:N92,L85:N86,L79:N80,L73:N74,L67:N68,L61:N62,L55:N56,L49:N50,L43:N44,L37:N38,L31:N32,L25:N26)</f>
        <v>4</v>
      </c>
      <c r="N97" s="429"/>
      <c r="O97" s="430"/>
      <c r="P97" s="391">
        <f>COUNTA(O91:Q92,O85:Q86,O79:Q80,O73:Q74,O67:Q68,O61:Q62,O55:Q56,O49:Q50,O43:Q44,O37:Q38,O31:Q32,O25:Q26)</f>
        <v>4</v>
      </c>
      <c r="Q97" s="429"/>
      <c r="R97" s="430"/>
      <c r="S97" s="391">
        <f>COUNTA(R91:T92,R85:T86,R79:T80,R73:T74,R67:T68,R61:T62,R55:T56,R49:T50,R43:T44,R37:T38,R31:T32,R25:T26)</f>
        <v>3</v>
      </c>
      <c r="T97" s="431"/>
      <c r="U97" s="199"/>
      <c r="V97" s="217" t="s">
        <v>18087</v>
      </c>
      <c r="W97" s="217" t="s">
        <v>18086</v>
      </c>
      <c r="X97" s="217" t="s">
        <v>18085</v>
      </c>
      <c r="Y97" s="217" t="s">
        <v>18084</v>
      </c>
      <c r="Z97" s="217" t="s">
        <v>18083</v>
      </c>
      <c r="AB97" s="548" t="s">
        <v>18081</v>
      </c>
      <c r="AC97" s="548" t="s">
        <v>18081</v>
      </c>
      <c r="AD97" s="548" t="s">
        <v>18081</v>
      </c>
      <c r="AE97" s="548" t="s">
        <v>18081</v>
      </c>
      <c r="AF97" s="548" t="s">
        <v>18081</v>
      </c>
      <c r="AG97" s="548" t="s">
        <v>18081</v>
      </c>
      <c r="AH97" s="548" t="s">
        <v>18081</v>
      </c>
      <c r="AI97" s="548" t="s">
        <v>18081</v>
      </c>
      <c r="AJ97" s="548" t="s">
        <v>18081</v>
      </c>
      <c r="AK97" s="548"/>
      <c r="AM97" s="548" t="s">
        <v>18081</v>
      </c>
      <c r="AN97" s="548" t="s">
        <v>18081</v>
      </c>
      <c r="AO97" s="548" t="s">
        <v>18081</v>
      </c>
      <c r="AP97" s="548" t="s">
        <v>18081</v>
      </c>
      <c r="AQ97" s="548" t="s">
        <v>18081</v>
      </c>
      <c r="AS97" s="548" t="s">
        <v>18081</v>
      </c>
      <c r="AT97" s="548" t="s">
        <v>18081</v>
      </c>
      <c r="AU97" s="548" t="s">
        <v>18081</v>
      </c>
      <c r="AV97" s="548" t="s">
        <v>18082</v>
      </c>
      <c r="AW97" s="548" t="s">
        <v>18081</v>
      </c>
      <c r="AX97" s="548" t="s">
        <v>18082</v>
      </c>
      <c r="AY97" s="548" t="s">
        <v>18081</v>
      </c>
      <c r="AZ97" s="548" t="s">
        <v>18082</v>
      </c>
      <c r="BA97" s="548" t="s">
        <v>18081</v>
      </c>
      <c r="BB97" s="548" t="s">
        <v>18082</v>
      </c>
      <c r="BC97" s="548" t="s">
        <v>18081</v>
      </c>
      <c r="BD97" s="216"/>
      <c r="BE97" s="213">
        <f>SUM(BD25,BD31,BD37,BD43,BD49,BD55,BD61,BD67,BD73,BD79,BD85,BD91)</f>
        <v>1</v>
      </c>
      <c r="BF97" s="215"/>
      <c r="BG97" s="214"/>
      <c r="BH97" s="213">
        <f>SUM(BG25,BG31,BG37,BG43,BG49,BG55,BG61,BG67,BG73,BG79,BG85,BG91)</f>
        <v>4</v>
      </c>
      <c r="BI97" s="215"/>
      <c r="BJ97" s="214"/>
      <c r="BK97" s="213">
        <f>SUM(BJ25,BJ31,BJ37,BJ43,BJ49,BJ55,BJ61,BJ67,BJ73,BJ79,BJ85,BJ91)</f>
        <v>4</v>
      </c>
      <c r="BL97" s="215"/>
      <c r="BM97" s="214"/>
      <c r="BN97" s="213">
        <f>SUM(BM25,BM31,BM37,BM43,BM49,BM55,BM61,BM67,BM73,BM79,BM85,BM91)</f>
        <v>3</v>
      </c>
      <c r="BO97" s="212"/>
      <c r="BP97" s="211">
        <f t="shared" ref="BP97:CD97" si="12">SUM(BP25:BP96)</f>
        <v>0</v>
      </c>
      <c r="BQ97" s="211">
        <f t="shared" si="12"/>
        <v>0</v>
      </c>
      <c r="BR97" s="211">
        <f t="shared" si="12"/>
        <v>0</v>
      </c>
      <c r="BS97" s="211">
        <f t="shared" si="12"/>
        <v>1</v>
      </c>
      <c r="BT97" s="211">
        <f t="shared" si="12"/>
        <v>1</v>
      </c>
      <c r="BU97" s="211">
        <f t="shared" si="12"/>
        <v>1</v>
      </c>
      <c r="BV97" s="211">
        <f t="shared" si="12"/>
        <v>1</v>
      </c>
      <c r="BW97" s="211">
        <f t="shared" si="12"/>
        <v>1</v>
      </c>
      <c r="BX97" s="211">
        <f t="shared" si="12"/>
        <v>1</v>
      </c>
      <c r="BY97" s="211">
        <f t="shared" si="12"/>
        <v>1</v>
      </c>
      <c r="BZ97" s="211">
        <f t="shared" si="12"/>
        <v>1</v>
      </c>
      <c r="CA97" s="211">
        <f t="shared" si="12"/>
        <v>1</v>
      </c>
      <c r="CB97" s="211">
        <f t="shared" si="12"/>
        <v>1</v>
      </c>
      <c r="CC97" s="211">
        <f t="shared" si="12"/>
        <v>1</v>
      </c>
      <c r="CD97" s="211">
        <f t="shared" si="12"/>
        <v>1</v>
      </c>
      <c r="CE97" s="210">
        <v>1</v>
      </c>
      <c r="CF97" s="210">
        <v>2</v>
      </c>
      <c r="CG97" s="210">
        <v>3</v>
      </c>
      <c r="CH97" s="210">
        <v>4</v>
      </c>
      <c r="CI97" s="210">
        <v>5</v>
      </c>
      <c r="CJ97" s="210">
        <v>6</v>
      </c>
      <c r="CK97" s="210">
        <v>7</v>
      </c>
      <c r="CL97" s="210">
        <v>8</v>
      </c>
      <c r="CM97" s="210">
        <v>9</v>
      </c>
      <c r="CN97" s="210">
        <v>10</v>
      </c>
      <c r="CO97" s="210">
        <v>11</v>
      </c>
      <c r="CP97" s="210">
        <v>12</v>
      </c>
    </row>
    <row r="98" spans="1:94" ht="14.85" customHeight="1">
      <c r="A98" s="209"/>
      <c r="B98" s="20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207">
        <f>IF(L4=0,"",SUM(V93,V87,V81,V75,V69,V63,V57,V51,V45,V39,V33,V27))</f>
        <v>100</v>
      </c>
      <c r="W98" s="206">
        <f>IF(L4=0,"",SUM(W93,W87,W81,W75,W69,W63,W57,W51,W45,W39,W33,W27))</f>
        <v>12</v>
      </c>
      <c r="X98" s="206">
        <f>IF(L4=0,"",SUM(X93,X87,X81,X75,X69,X63,X57,X51,X45,X39,X33,X27))</f>
        <v>4</v>
      </c>
      <c r="Y98" s="206">
        <f>IF(L4=0,"",SUM(Y93,Y87,Y81,Y75,Y69,Y63,Y57,Y51,Y45,Y39,Y33,Y27))</f>
        <v>4</v>
      </c>
      <c r="Z98" s="206">
        <f>IF(L4=0,"",SUM(Z93,Z87,Z81,Z75,Z69,Z63,Z57,Z51,Z45,Z39,Z33,Z27))</f>
        <v>4</v>
      </c>
      <c r="AB98" s="556">
        <f>SUM(AB93,AB87,AB81,AB75,AB69,AB63,AB57,AB51,AB45,AB39,AB33,AB27)</f>
        <v>4</v>
      </c>
      <c r="AC98" s="556">
        <f>COUNTIF(AC27:AC93,"&gt;0")</f>
        <v>5</v>
      </c>
      <c r="AD98" s="556">
        <f t="shared" ref="AD98:AJ98" si="13">SUM(AD93,AD87,AD81,AD75,AD69,AD63,AD57,AD51,AD45,AD39,AD33,AD27)</f>
        <v>0</v>
      </c>
      <c r="AE98" s="556">
        <f t="shared" si="13"/>
        <v>0</v>
      </c>
      <c r="AF98" s="556">
        <f t="shared" si="13"/>
        <v>0</v>
      </c>
      <c r="AG98" s="556">
        <f t="shared" si="13"/>
        <v>0</v>
      </c>
      <c r="AH98" s="556">
        <f t="shared" si="13"/>
        <v>0</v>
      </c>
      <c r="AI98" s="556">
        <f t="shared" si="13"/>
        <v>0</v>
      </c>
      <c r="AJ98" s="556">
        <f t="shared" si="13"/>
        <v>0</v>
      </c>
      <c r="AK98" s="556"/>
      <c r="AM98" s="556">
        <f>SUM(AM93,AM87,AM81,AM75,AM69,AM63,AM57,AM51,AM45,AM39,AM33,AM27)</f>
        <v>3</v>
      </c>
      <c r="AN98" s="556">
        <f>COUNTIF(AN27:AN93,"&gt;0")</f>
        <v>3</v>
      </c>
      <c r="AO98" s="556">
        <f>SUM(AO93,AO87,AO81,AO75,AO69,AO63,AO57,AO51,AO45,AO39,AO33,AO27)</f>
        <v>1</v>
      </c>
      <c r="AP98" s="556">
        <f>SUM(AP93,AP87,AP81,AP75,AP69,AP63,AP57,AP51,AP45,AP39,AP33,AP27)</f>
        <v>0</v>
      </c>
      <c r="AQ98" s="556">
        <f>SUM(AQ93,AQ87,AQ81,AQ75,AQ69,AQ63,AQ57,AQ51,AQ45,AQ39,AQ33,AQ27)</f>
        <v>0</v>
      </c>
      <c r="AS98" s="556">
        <f>SUM(AS93,AS87,AS81,AS75,AS69,AS63,AS57,AS51,AS45,AS39,AS33,AS27)</f>
        <v>0</v>
      </c>
      <c r="AT98" s="556">
        <f>COUNTIF(AT27:AT93,"&gt;0")</f>
        <v>3</v>
      </c>
      <c r="AU98" s="563">
        <f>SUM(AU93,AU87,AU81,AU75,AU69,AU63,AU57,AU51,AU45,AU39,AU33,AU27)</f>
        <v>1</v>
      </c>
      <c r="AV98" s="564">
        <f>LARGE(AV27:AV93,1)</f>
        <v>20</v>
      </c>
      <c r="AW98" s="563">
        <f>SUM(AW93,AW87,AW81,AW75,AW69,AW63,AW57,AW51,AW45,AW39,AW33,AW27)</f>
        <v>1</v>
      </c>
      <c r="AX98" s="564">
        <f>LARGE(AX27:AX93,1)</f>
        <v>15</v>
      </c>
      <c r="AY98" s="563">
        <f>SUM(AY93,AY87,AY81,AY75,AY69,AY63,AY57,AY51,AY45,AY39,AY33,AY27)</f>
        <v>1</v>
      </c>
      <c r="AZ98" s="564">
        <f>LARGE(AZ27:AZ93,1)</f>
        <v>10</v>
      </c>
      <c r="BA98" s="563">
        <f>SUM(BA93,BA87,BA81,BA75,BA69,BA63,BA57,BA51,BA45,BA39,BA33,BA27)</f>
        <v>1</v>
      </c>
      <c r="BB98" s="564">
        <f>LARGE(BB27:BB93,1)</f>
        <v>0</v>
      </c>
      <c r="BC98" s="563">
        <f>SUM(BC93,BC87,BC81,BC75,BC69,BC63,BC57,BC51,BC45,BC39,BC33,BC27)</f>
        <v>0</v>
      </c>
      <c r="BD98" s="204" t="s">
        <v>18081</v>
      </c>
      <c r="BE98" s="205">
        <f>SUM(BE97,BH97,BK97,BN97)</f>
        <v>12</v>
      </c>
      <c r="BR98" s="204" t="s">
        <v>18080</v>
      </c>
      <c r="BS98" s="204" t="s">
        <v>81</v>
      </c>
      <c r="BT98" s="204" t="s">
        <v>82</v>
      </c>
      <c r="BU98" s="204" t="s">
        <v>83</v>
      </c>
      <c r="BV98" s="204" t="s">
        <v>84</v>
      </c>
      <c r="BW98" s="204" t="s">
        <v>85</v>
      </c>
      <c r="BX98" s="204" t="s">
        <v>86</v>
      </c>
      <c r="BY98" s="204" t="s">
        <v>87</v>
      </c>
      <c r="BZ98" s="204" t="s">
        <v>88</v>
      </c>
      <c r="CA98" s="204" t="s">
        <v>89</v>
      </c>
      <c r="CB98" s="204" t="s">
        <v>90</v>
      </c>
      <c r="CC98" s="204" t="s">
        <v>91</v>
      </c>
      <c r="CD98" s="204" t="s">
        <v>92</v>
      </c>
      <c r="CE98" s="203">
        <f>IF(COUNTIF(CE25:CE96,"A")=1,"A",IF(COUNTIF(CE25:CE96,"B")=1,"B",IF(COUNTIF(CE25:CE96,"C")=1,"C",0)))</f>
        <v>0</v>
      </c>
      <c r="CF98" s="203">
        <f>IF(COUNTIF(CF25:CF96,"A")=1,"A",IF(COUNTIF(CF25:CF96,"B")=1,"B",IF(COUNTIF(CF25:CF96,"C")=1,"C",0)))</f>
        <v>0</v>
      </c>
      <c r="CG98" s="203">
        <f>IF(COUNTIF(CG25:CG96,"A")=1,"A",IF(COUNTIF(CG25:CG96,"B")=1,"B",IF(COUNTIF(CG25:CG96,"C")=1,"C",0)))</f>
        <v>0</v>
      </c>
      <c r="CH98" s="203">
        <f>IF(COUNTIF(CH5:CH96,"A")=1,"A",IF(COUNTIF(CH5:CH96,"B")=1,"B",IF(COUNTIF(CH5:CH96,"C")=1,"C",0)))</f>
        <v>0</v>
      </c>
      <c r="CI98" s="203">
        <f t="shared" ref="CI98:CP98" si="14">IF(COUNTIF(CI25:CI96,"A")=1,"A",IF(COUNTIF(CI25:CI96,"B")=1,"B",IF(COUNTIF(CI25:CI96,"C")=1,"C",0)))</f>
        <v>0</v>
      </c>
      <c r="CJ98" s="203">
        <f t="shared" si="14"/>
        <v>0</v>
      </c>
      <c r="CK98" s="203">
        <f t="shared" si="14"/>
        <v>0</v>
      </c>
      <c r="CL98" s="203">
        <f t="shared" si="14"/>
        <v>0</v>
      </c>
      <c r="CM98" s="203">
        <f t="shared" si="14"/>
        <v>0</v>
      </c>
      <c r="CN98" s="203">
        <f t="shared" si="14"/>
        <v>0</v>
      </c>
      <c r="CO98" s="203">
        <f t="shared" si="14"/>
        <v>0</v>
      </c>
      <c r="CP98" s="203">
        <f t="shared" si="14"/>
        <v>0</v>
      </c>
    </row>
    <row r="99" spans="1:94" ht="14.85" customHeight="1">
      <c r="A99" s="202" t="s">
        <v>18079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201"/>
      <c r="X99" s="200"/>
      <c r="Y99" s="199"/>
      <c r="Z99" s="199"/>
      <c r="AC99" s="556">
        <f>COUNTIF(AC27:AC93,"&gt;0,99")</f>
        <v>5</v>
      </c>
      <c r="AS99" s="151" t="s">
        <v>18078</v>
      </c>
      <c r="AT99" s="151">
        <f>MAX(AT27:AT93)</f>
        <v>25</v>
      </c>
      <c r="AU99" s="149"/>
      <c r="BR99" s="198">
        <f>IF(OR(MAX(BS97:CD97)=1,MIN(BR98:CC98)=1),0,HLOOKUP(MAX(BS97:CD97),BS97:CD98,2,FALSE()))</f>
        <v>0</v>
      </c>
    </row>
    <row r="100" spans="1:94" ht="25.9" customHeight="1">
      <c r="A100" s="656" t="s">
        <v>18077</v>
      </c>
      <c r="B100" s="657"/>
      <c r="C100" s="657"/>
      <c r="D100" s="657"/>
      <c r="E100" s="657"/>
      <c r="F100" s="657"/>
      <c r="G100" s="657"/>
      <c r="H100" s="657"/>
      <c r="I100" s="657"/>
      <c r="J100" s="657"/>
      <c r="K100" s="657"/>
      <c r="L100" s="657"/>
      <c r="M100" s="657"/>
      <c r="N100" s="657"/>
      <c r="O100" s="657"/>
      <c r="P100" s="657"/>
      <c r="Q100" s="657"/>
      <c r="R100" s="657"/>
      <c r="S100" s="657"/>
      <c r="T100" s="658"/>
      <c r="U100" s="149"/>
      <c r="V100" s="699" t="s">
        <v>18076</v>
      </c>
      <c r="W100" s="699"/>
      <c r="X100" s="197"/>
      <c r="Y100" s="695" t="s">
        <v>18075</v>
      </c>
      <c r="Z100" s="695"/>
    </row>
    <row r="101" spans="1:94" ht="14.85" customHeight="1">
      <c r="A101" s="696"/>
      <c r="B101" s="696"/>
      <c r="C101" s="696"/>
      <c r="D101" s="696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696"/>
      <c r="Q101" s="696"/>
      <c r="R101" s="696"/>
      <c r="S101" s="696"/>
      <c r="T101" s="696"/>
      <c r="U101" s="149"/>
      <c r="V101" s="195" t="s">
        <v>17928</v>
      </c>
      <c r="W101" s="195" t="s">
        <v>17957</v>
      </c>
      <c r="X101" s="196"/>
      <c r="Y101" s="697" t="s">
        <v>17964</v>
      </c>
      <c r="Z101" s="697"/>
    </row>
    <row r="102" spans="1:94" ht="14.85" customHeight="1">
      <c r="A102" s="696"/>
      <c r="B102" s="696"/>
      <c r="C102" s="696"/>
      <c r="D102" s="696"/>
      <c r="E102" s="696"/>
      <c r="F102" s="696"/>
      <c r="G102" s="696"/>
      <c r="H102" s="696"/>
      <c r="I102" s="696"/>
      <c r="J102" s="696"/>
      <c r="K102" s="696"/>
      <c r="L102" s="696"/>
      <c r="M102" s="696"/>
      <c r="N102" s="696"/>
      <c r="O102" s="696"/>
      <c r="P102" s="696"/>
      <c r="Q102" s="696"/>
      <c r="R102" s="696"/>
      <c r="S102" s="696"/>
      <c r="T102" s="696"/>
      <c r="U102" s="149"/>
      <c r="V102" s="195" t="s">
        <v>17956</v>
      </c>
      <c r="W102" s="194"/>
      <c r="X102" s="193"/>
      <c r="Y102" s="698" t="s">
        <v>17905</v>
      </c>
      <c r="Z102" s="698"/>
    </row>
    <row r="103" spans="1:94" ht="14.45" customHeight="1" thickBot="1"/>
    <row r="104" spans="1:94" ht="18" customHeight="1" thickBot="1">
      <c r="A104" s="663" t="s">
        <v>18723</v>
      </c>
      <c r="B104" s="664"/>
      <c r="C104" s="665" t="s">
        <v>18724</v>
      </c>
      <c r="D104" s="665"/>
      <c r="E104" s="665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65"/>
      <c r="R104" s="665"/>
      <c r="S104" s="665"/>
      <c r="T104" s="665"/>
      <c r="U104" s="665"/>
      <c r="V104" s="665"/>
      <c r="W104" s="665"/>
      <c r="X104" s="665"/>
      <c r="Y104" s="665"/>
      <c r="Z104" s="666"/>
    </row>
    <row r="110" spans="1:94">
      <c r="I110" s="667" t="s">
        <v>18230</v>
      </c>
      <c r="J110" s="667"/>
      <c r="K110" s="668" t="s">
        <v>18231</v>
      </c>
      <c r="L110" s="668"/>
      <c r="M110" s="374" t="s">
        <v>18232</v>
      </c>
    </row>
    <row r="111" spans="1:94">
      <c r="I111" s="646">
        <v>21</v>
      </c>
      <c r="J111" s="647"/>
      <c r="K111" s="376">
        <v>15</v>
      </c>
      <c r="L111" s="377"/>
      <c r="M111" s="378">
        <v>25</v>
      </c>
    </row>
    <row r="112" spans="1:94">
      <c r="I112" s="646">
        <v>21</v>
      </c>
      <c r="J112" s="647"/>
      <c r="K112" s="646">
        <v>18</v>
      </c>
      <c r="L112" s="647"/>
      <c r="M112" s="378">
        <v>50</v>
      </c>
    </row>
    <row r="113" spans="8:15">
      <c r="I113" s="646">
        <v>15</v>
      </c>
      <c r="J113" s="647"/>
      <c r="K113" s="646">
        <v>10</v>
      </c>
      <c r="L113" s="647"/>
      <c r="M113" s="378">
        <v>40</v>
      </c>
    </row>
    <row r="114" spans="8:15">
      <c r="I114" s="646">
        <v>18</v>
      </c>
      <c r="J114" s="647"/>
      <c r="K114" s="646">
        <v>13</v>
      </c>
      <c r="L114" s="647"/>
      <c r="M114" s="378">
        <v>60</v>
      </c>
    </row>
    <row r="115" spans="8:15">
      <c r="I115" s="646">
        <v>16</v>
      </c>
      <c r="J115" s="647"/>
      <c r="K115" s="646">
        <v>13</v>
      </c>
      <c r="L115" s="647"/>
      <c r="M115" s="378">
        <v>25</v>
      </c>
    </row>
    <row r="116" spans="8:15">
      <c r="I116" s="646"/>
      <c r="J116" s="647"/>
      <c r="K116" s="646"/>
      <c r="L116" s="647"/>
      <c r="M116" s="378">
        <v>30</v>
      </c>
    </row>
    <row r="117" spans="8:15">
      <c r="I117" s="646"/>
      <c r="J117" s="647"/>
      <c r="K117" s="646"/>
      <c r="L117" s="647"/>
      <c r="M117" s="378">
        <v>20</v>
      </c>
    </row>
    <row r="118" spans="8:15">
      <c r="I118" s="646"/>
      <c r="J118" s="647"/>
      <c r="K118" s="646"/>
      <c r="L118" s="647"/>
      <c r="M118" s="378"/>
    </row>
    <row r="119" spans="8:15">
      <c r="I119" s="646"/>
      <c r="J119" s="647"/>
      <c r="K119" s="646"/>
      <c r="L119" s="647"/>
      <c r="M119" s="378"/>
    </row>
    <row r="120" spans="8:15">
      <c r="I120" s="646"/>
      <c r="J120" s="647"/>
      <c r="K120" s="646"/>
      <c r="L120" s="647"/>
      <c r="M120" s="378"/>
    </row>
    <row r="121" spans="8:15">
      <c r="I121" s="646"/>
      <c r="J121" s="647"/>
      <c r="K121" s="646"/>
      <c r="L121" s="647"/>
      <c r="M121" s="378"/>
    </row>
    <row r="122" spans="8:15">
      <c r="I122" s="646"/>
      <c r="J122" s="647"/>
      <c r="K122" s="646"/>
      <c r="L122" s="647"/>
      <c r="M122" s="378"/>
    </row>
    <row r="123" spans="8:15">
      <c r="I123" s="646"/>
      <c r="J123" s="647"/>
      <c r="K123" s="646"/>
      <c r="L123" s="647"/>
      <c r="M123" s="378"/>
    </row>
    <row r="124" spans="8:15">
      <c r="I124" s="649"/>
      <c r="J124" s="650"/>
      <c r="K124" s="651"/>
      <c r="L124" s="650"/>
      <c r="M124" s="432">
        <f>SUM(M111:M123)</f>
        <v>250</v>
      </c>
      <c r="N124" s="648" t="s">
        <v>18237</v>
      </c>
      <c r="O124" s="648"/>
    </row>
    <row r="125" spans="8:15">
      <c r="H125" s="375" t="s">
        <v>18119</v>
      </c>
      <c r="I125" s="652">
        <f>AVERAGE(I111:J123)</f>
        <v>18.2</v>
      </c>
      <c r="J125" s="652"/>
      <c r="K125" s="653">
        <f>AVERAGE(K111:L123)</f>
        <v>13.8</v>
      </c>
      <c r="L125" s="653"/>
      <c r="M125" s="433">
        <f>IF(I125&lt;8,(I125*18),IF(AND(I125&gt;=8,I125&lt;25),I125*12,IF(I125&gt;=25,I125*6,0)))</f>
        <v>218.39999999999998</v>
      </c>
      <c r="N125" s="702" t="s">
        <v>18238</v>
      </c>
      <c r="O125" s="703"/>
    </row>
    <row r="126" spans="8:15">
      <c r="I126" s="150"/>
      <c r="J126" s="150"/>
      <c r="K126" s="150"/>
      <c r="L126" s="150"/>
      <c r="M126" s="150"/>
    </row>
    <row r="127" spans="8:15">
      <c r="I127" s="150"/>
      <c r="J127" s="150"/>
      <c r="K127" s="150"/>
      <c r="L127" s="150"/>
      <c r="M127" s="150"/>
    </row>
    <row r="128" spans="8:15">
      <c r="I128" s="150"/>
      <c r="J128" s="150"/>
      <c r="K128" s="150"/>
      <c r="L128" s="150"/>
      <c r="M128" s="150"/>
    </row>
    <row r="1048575" ht="12.75" customHeight="1"/>
  </sheetData>
  <sheetProtection algorithmName="SHA-512" hashValue="pSqsHLrodWrCk+5Dr3FV+wPgTfcdrNaUQWNNS4elriv3bC5VI3cQF4xd/OpmV+me98mkB8rz7xWsPqnqgwVjTA==" saltValue="Q3qi07seGCsHfGJfL5NcrA==" spinCount="100000" sheet="1" objects="1" scenarios="1"/>
  <mergeCells count="344">
    <mergeCell ref="G20:I20"/>
    <mergeCell ref="N125:O125"/>
    <mergeCell ref="O85:O86"/>
    <mergeCell ref="L95:L96"/>
    <mergeCell ref="M79:M80"/>
    <mergeCell ref="O79:O80"/>
    <mergeCell ref="P79:P80"/>
    <mergeCell ref="R79:R80"/>
    <mergeCell ref="S79:S80"/>
    <mergeCell ref="I83:I84"/>
    <mergeCell ref="J83:J84"/>
    <mergeCell ref="L83:L84"/>
    <mergeCell ref="M95:M96"/>
    <mergeCell ref="O95:O96"/>
    <mergeCell ref="P95:P96"/>
    <mergeCell ref="S85:S86"/>
    <mergeCell ref="I89:I90"/>
    <mergeCell ref="J89:J90"/>
    <mergeCell ref="L89:L90"/>
    <mergeCell ref="M89:M90"/>
    <mergeCell ref="O89:O90"/>
    <mergeCell ref="P89:P90"/>
    <mergeCell ref="R89:R90"/>
    <mergeCell ref="S89:S90"/>
    <mergeCell ref="Y100:Z100"/>
    <mergeCell ref="A101:T102"/>
    <mergeCell ref="Y101:Z101"/>
    <mergeCell ref="Y102:Z102"/>
    <mergeCell ref="I91:I92"/>
    <mergeCell ref="J91:J92"/>
    <mergeCell ref="L91:L92"/>
    <mergeCell ref="M91:M92"/>
    <mergeCell ref="O91:O92"/>
    <mergeCell ref="P91:P92"/>
    <mergeCell ref="R91:R92"/>
    <mergeCell ref="S91:S92"/>
    <mergeCell ref="R95:R96"/>
    <mergeCell ref="S95:S96"/>
    <mergeCell ref="D92:E92"/>
    <mergeCell ref="D93:E93"/>
    <mergeCell ref="I93:K94"/>
    <mergeCell ref="L93:N94"/>
    <mergeCell ref="V100:W100"/>
    <mergeCell ref="I95:I96"/>
    <mergeCell ref="J95:J96"/>
    <mergeCell ref="D81:E81"/>
    <mergeCell ref="I81:K82"/>
    <mergeCell ref="L81:N82"/>
    <mergeCell ref="O81:Q82"/>
    <mergeCell ref="R81:T82"/>
    <mergeCell ref="D82:E82"/>
    <mergeCell ref="I79:I80"/>
    <mergeCell ref="J79:J80"/>
    <mergeCell ref="L79:L80"/>
    <mergeCell ref="M83:M84"/>
    <mergeCell ref="O83:O84"/>
    <mergeCell ref="P83:P84"/>
    <mergeCell ref="R83:R84"/>
    <mergeCell ref="S83:S84"/>
    <mergeCell ref="D74:E74"/>
    <mergeCell ref="R71:R72"/>
    <mergeCell ref="P71:P72"/>
    <mergeCell ref="O71:O72"/>
    <mergeCell ref="O73:O74"/>
    <mergeCell ref="S73:S74"/>
    <mergeCell ref="I77:I78"/>
    <mergeCell ref="M77:M78"/>
    <mergeCell ref="O77:O78"/>
    <mergeCell ref="P77:P78"/>
    <mergeCell ref="R77:R78"/>
    <mergeCell ref="S77:S78"/>
    <mergeCell ref="M71:M72"/>
    <mergeCell ref="D75:E75"/>
    <mergeCell ref="I75:K76"/>
    <mergeCell ref="L75:N76"/>
    <mergeCell ref="O75:Q76"/>
    <mergeCell ref="R75:T76"/>
    <mergeCell ref="D80:E80"/>
    <mergeCell ref="D68:E68"/>
    <mergeCell ref="J65:J66"/>
    <mergeCell ref="I65:I66"/>
    <mergeCell ref="I67:I68"/>
    <mergeCell ref="J67:J68"/>
    <mergeCell ref="D69:E69"/>
    <mergeCell ref="I69:K70"/>
    <mergeCell ref="L69:N70"/>
    <mergeCell ref="O69:Q70"/>
    <mergeCell ref="L65:L66"/>
    <mergeCell ref="L67:L68"/>
    <mergeCell ref="O67:O68"/>
    <mergeCell ref="P67:P68"/>
    <mergeCell ref="R63:T64"/>
    <mergeCell ref="M55:M56"/>
    <mergeCell ref="L55:L56"/>
    <mergeCell ref="S65:S66"/>
    <mergeCell ref="R65:R66"/>
    <mergeCell ref="P65:P66"/>
    <mergeCell ref="O65:O66"/>
    <mergeCell ref="M65:M66"/>
    <mergeCell ref="L61:L62"/>
    <mergeCell ref="J55:J56"/>
    <mergeCell ref="I55:I56"/>
    <mergeCell ref="D62:E62"/>
    <mergeCell ref="D63:E63"/>
    <mergeCell ref="I63:K64"/>
    <mergeCell ref="L63:N64"/>
    <mergeCell ref="O63:Q64"/>
    <mergeCell ref="D64:E64"/>
    <mergeCell ref="I59:I60"/>
    <mergeCell ref="M61:M62"/>
    <mergeCell ref="O61:O62"/>
    <mergeCell ref="L59:L60"/>
    <mergeCell ref="M59:M60"/>
    <mergeCell ref="O59:O60"/>
    <mergeCell ref="P59:P60"/>
    <mergeCell ref="J59:J60"/>
    <mergeCell ref="I61:I62"/>
    <mergeCell ref="J61:J62"/>
    <mergeCell ref="R43:R44"/>
    <mergeCell ref="S43:S44"/>
    <mergeCell ref="S47:S48"/>
    <mergeCell ref="R47:R48"/>
    <mergeCell ref="D56:E56"/>
    <mergeCell ref="D57:E57"/>
    <mergeCell ref="I57:K58"/>
    <mergeCell ref="L57:N58"/>
    <mergeCell ref="O57:Q58"/>
    <mergeCell ref="R57:T58"/>
    <mergeCell ref="D50:E50"/>
    <mergeCell ref="D51:E51"/>
    <mergeCell ref="I51:K52"/>
    <mergeCell ref="L51:N52"/>
    <mergeCell ref="O51:Q52"/>
    <mergeCell ref="R51:T52"/>
    <mergeCell ref="D44:E44"/>
    <mergeCell ref="D45:E45"/>
    <mergeCell ref="I45:K46"/>
    <mergeCell ref="L45:N46"/>
    <mergeCell ref="O45:Q46"/>
    <mergeCell ref="R45:T46"/>
    <mergeCell ref="R49:R50"/>
    <mergeCell ref="S49:S50"/>
    <mergeCell ref="D33:E33"/>
    <mergeCell ref="I33:K34"/>
    <mergeCell ref="L33:N34"/>
    <mergeCell ref="O33:Q34"/>
    <mergeCell ref="R33:T34"/>
    <mergeCell ref="D38:E38"/>
    <mergeCell ref="P35:P36"/>
    <mergeCell ref="O35:O36"/>
    <mergeCell ref="I43:I44"/>
    <mergeCell ref="J43:J44"/>
    <mergeCell ref="L43:L44"/>
    <mergeCell ref="M43:M44"/>
    <mergeCell ref="D39:E39"/>
    <mergeCell ref="I39:K40"/>
    <mergeCell ref="L39:N40"/>
    <mergeCell ref="O39:Q40"/>
    <mergeCell ref="R39:T40"/>
    <mergeCell ref="S41:S42"/>
    <mergeCell ref="R41:R42"/>
    <mergeCell ref="O41:O42"/>
    <mergeCell ref="P41:P42"/>
    <mergeCell ref="M41:M42"/>
    <mergeCell ref="L41:L42"/>
    <mergeCell ref="I41:I42"/>
    <mergeCell ref="I37:I38"/>
    <mergeCell ref="R37:R38"/>
    <mergeCell ref="S37:S38"/>
    <mergeCell ref="J25:J26"/>
    <mergeCell ref="L25:L26"/>
    <mergeCell ref="M25:M26"/>
    <mergeCell ref="O25:O26"/>
    <mergeCell ref="R31:R32"/>
    <mergeCell ref="S31:S32"/>
    <mergeCell ref="S35:S36"/>
    <mergeCell ref="R35:R36"/>
    <mergeCell ref="L35:L36"/>
    <mergeCell ref="J37:J38"/>
    <mergeCell ref="L37:L38"/>
    <mergeCell ref="M37:M38"/>
    <mergeCell ref="O37:O38"/>
    <mergeCell ref="P37:P38"/>
    <mergeCell ref="M35:M36"/>
    <mergeCell ref="BD21:CD21"/>
    <mergeCell ref="CE21:CP21"/>
    <mergeCell ref="U10:W10"/>
    <mergeCell ref="X10:Z10"/>
    <mergeCell ref="V11:W11"/>
    <mergeCell ref="Y11:Z11"/>
    <mergeCell ref="V12:W12"/>
    <mergeCell ref="Y12:Z12"/>
    <mergeCell ref="AS22:AZ22"/>
    <mergeCell ref="BD22:BF22"/>
    <mergeCell ref="BG22:BI22"/>
    <mergeCell ref="BJ22:BL22"/>
    <mergeCell ref="V22:V24"/>
    <mergeCell ref="AB22:AF22"/>
    <mergeCell ref="AM22:AQ22"/>
    <mergeCell ref="Y24:Z24"/>
    <mergeCell ref="A1:C1"/>
    <mergeCell ref="D1:W1"/>
    <mergeCell ref="X1:Z1"/>
    <mergeCell ref="C4:H4"/>
    <mergeCell ref="L4:N4"/>
    <mergeCell ref="S4:V4"/>
    <mergeCell ref="E13:F13"/>
    <mergeCell ref="W14:Y14"/>
    <mergeCell ref="A17:C17"/>
    <mergeCell ref="O17:R17"/>
    <mergeCell ref="C6:J6"/>
    <mergeCell ref="N6:V6"/>
    <mergeCell ref="A8:D8"/>
    <mergeCell ref="G8:I8"/>
    <mergeCell ref="K8:O8"/>
    <mergeCell ref="U8:Z8"/>
    <mergeCell ref="O22:Q22"/>
    <mergeCell ref="R29:R30"/>
    <mergeCell ref="S29:S30"/>
    <mergeCell ref="P29:P30"/>
    <mergeCell ref="O29:O30"/>
    <mergeCell ref="I29:I30"/>
    <mergeCell ref="J29:J30"/>
    <mergeCell ref="L29:L30"/>
    <mergeCell ref="D32:E32"/>
    <mergeCell ref="I25:I26"/>
    <mergeCell ref="D26:E26"/>
    <mergeCell ref="D27:E27"/>
    <mergeCell ref="I27:K28"/>
    <mergeCell ref="L27:N28"/>
    <mergeCell ref="O27:Q28"/>
    <mergeCell ref="D24:F24"/>
    <mergeCell ref="I22:K22"/>
    <mergeCell ref="L22:N22"/>
    <mergeCell ref="R27:T28"/>
    <mergeCell ref="P25:P26"/>
    <mergeCell ref="R25:R26"/>
    <mergeCell ref="S25:S26"/>
    <mergeCell ref="M29:M30"/>
    <mergeCell ref="I31:I32"/>
    <mergeCell ref="J41:J42"/>
    <mergeCell ref="O31:O32"/>
    <mergeCell ref="P31:P32"/>
    <mergeCell ref="O43:O44"/>
    <mergeCell ref="P43:P44"/>
    <mergeCell ref="I53:I54"/>
    <mergeCell ref="J53:J54"/>
    <mergeCell ref="L49:L50"/>
    <mergeCell ref="M49:M50"/>
    <mergeCell ref="L53:L54"/>
    <mergeCell ref="M53:M54"/>
    <mergeCell ref="P47:P48"/>
    <mergeCell ref="O47:O48"/>
    <mergeCell ref="M47:M48"/>
    <mergeCell ref="L47:L48"/>
    <mergeCell ref="I49:I50"/>
    <mergeCell ref="J49:J50"/>
    <mergeCell ref="I47:I48"/>
    <mergeCell ref="J47:J48"/>
    <mergeCell ref="J31:J32"/>
    <mergeCell ref="I35:I36"/>
    <mergeCell ref="J35:J36"/>
    <mergeCell ref="L31:L32"/>
    <mergeCell ref="M31:M32"/>
    <mergeCell ref="S53:S54"/>
    <mergeCell ref="R53:R54"/>
    <mergeCell ref="S55:S56"/>
    <mergeCell ref="R55:R56"/>
    <mergeCell ref="O53:O54"/>
    <mergeCell ref="P53:P54"/>
    <mergeCell ref="O49:O50"/>
    <mergeCell ref="P49:P50"/>
    <mergeCell ref="P61:P62"/>
    <mergeCell ref="R61:R62"/>
    <mergeCell ref="S61:S62"/>
    <mergeCell ref="P55:P56"/>
    <mergeCell ref="O55:O56"/>
    <mergeCell ref="R59:R60"/>
    <mergeCell ref="S59:S60"/>
    <mergeCell ref="R67:R68"/>
    <mergeCell ref="S67:S68"/>
    <mergeCell ref="S71:S72"/>
    <mergeCell ref="I73:I74"/>
    <mergeCell ref="J73:J74"/>
    <mergeCell ref="L73:L74"/>
    <mergeCell ref="M73:M74"/>
    <mergeCell ref="J77:J78"/>
    <mergeCell ref="L77:L78"/>
    <mergeCell ref="P73:P74"/>
    <mergeCell ref="R73:R74"/>
    <mergeCell ref="M67:M68"/>
    <mergeCell ref="R69:T70"/>
    <mergeCell ref="L71:L72"/>
    <mergeCell ref="J71:J72"/>
    <mergeCell ref="I71:I72"/>
    <mergeCell ref="M85:M86"/>
    <mergeCell ref="I112:J112"/>
    <mergeCell ref="I113:J113"/>
    <mergeCell ref="I114:J114"/>
    <mergeCell ref="I115:J115"/>
    <mergeCell ref="I116:J116"/>
    <mergeCell ref="A100:T100"/>
    <mergeCell ref="D86:E86"/>
    <mergeCell ref="O93:Q94"/>
    <mergeCell ref="R93:T94"/>
    <mergeCell ref="I87:K88"/>
    <mergeCell ref="L87:N88"/>
    <mergeCell ref="O87:Q88"/>
    <mergeCell ref="R87:T88"/>
    <mergeCell ref="D87:E87"/>
    <mergeCell ref="P85:P86"/>
    <mergeCell ref="R85:R86"/>
    <mergeCell ref="J85:J86"/>
    <mergeCell ref="L85:L86"/>
    <mergeCell ref="I85:I86"/>
    <mergeCell ref="A104:B104"/>
    <mergeCell ref="C104:Z104"/>
    <mergeCell ref="I110:J110"/>
    <mergeCell ref="K110:L110"/>
    <mergeCell ref="I125:J125"/>
    <mergeCell ref="K125:L125"/>
    <mergeCell ref="I118:J118"/>
    <mergeCell ref="I119:J119"/>
    <mergeCell ref="I120:J120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I117:J117"/>
    <mergeCell ref="I111:J111"/>
    <mergeCell ref="N124:O124"/>
    <mergeCell ref="K121:L121"/>
    <mergeCell ref="I121:J121"/>
    <mergeCell ref="I122:J122"/>
    <mergeCell ref="K122:L122"/>
    <mergeCell ref="I123:J123"/>
    <mergeCell ref="K123:L123"/>
    <mergeCell ref="I124:J124"/>
    <mergeCell ref="K124:L124"/>
  </mergeCells>
  <conditionalFormatting sqref="V98">
    <cfRule type="cellIs" dxfId="10" priority="1" stopIfTrue="1" operator="notEqual">
      <formula>100</formula>
    </cfRule>
  </conditionalFormatting>
  <conditionalFormatting sqref="Y5">
    <cfRule type="cellIs" dxfId="9" priority="2" stopIfTrue="1" operator="equal">
      <formula>"heure ?"</formula>
    </cfRule>
  </conditionalFormatting>
  <conditionalFormatting sqref="J17">
    <cfRule type="cellIs" dxfId="8" priority="3" stopIfTrue="1" operator="equal">
      <formula>"cocher une case"</formula>
    </cfRule>
  </conditionalFormatting>
  <conditionalFormatting sqref="U43">
    <cfRule type="cellIs" dxfId="7" priority="4" stopIfTrue="1" operator="equal">
      <formula>"Nb.prel"</formula>
    </cfRule>
  </conditionalFormatting>
  <conditionalFormatting sqref="A9">
    <cfRule type="cellIs" dxfId="6" priority="5" stopIfTrue="1" operator="equal">
      <formula>"cocher une case"</formula>
    </cfRule>
  </conditionalFormatting>
  <conditionalFormatting sqref="H9">
    <cfRule type="cellIs" dxfId="5" priority="6" stopIfTrue="1" operator="equal">
      <formula>"cocher une case"</formula>
    </cfRule>
  </conditionalFormatting>
  <conditionalFormatting sqref="L10">
    <cfRule type="cellIs" dxfId="4" priority="7" stopIfTrue="1" operator="equal">
      <formula>"cocher une case"</formula>
    </cfRule>
  </conditionalFormatting>
  <conditionalFormatting sqref="W98">
    <cfRule type="cellIs" dxfId="3" priority="8" stopIfTrue="1" operator="notEqual">
      <formula>12</formula>
    </cfRule>
  </conditionalFormatting>
  <conditionalFormatting sqref="X98">
    <cfRule type="cellIs" dxfId="2" priority="9" stopIfTrue="1" operator="notEqual">
      <formula>4</formula>
    </cfRule>
  </conditionalFormatting>
  <conditionalFormatting sqref="Y98">
    <cfRule type="cellIs" dxfId="1" priority="10" stopIfTrue="1" operator="notEqual">
      <formula>4</formula>
    </cfRule>
  </conditionalFormatting>
  <conditionalFormatting sqref="Z98">
    <cfRule type="cellIs" dxfId="0" priority="11" stopIfTrue="1" operator="notEqual">
      <formula>4</formula>
    </cfRule>
  </conditionalFormatting>
  <printOptions horizontalCentered="1" verticalCentered="1"/>
  <pageMargins left="0.27559055118110237" right="0.31496062992125984" top="0.11811023622047245" bottom="7.874015748031496E-2" header="0.51181102362204722" footer="0.51181102362204722"/>
  <pageSetup paperSize="9" scale="39" firstPageNumber="0" orientation="portrait" r:id="rId1"/>
  <rowBreaks count="1" manualBreakCount="1">
    <brk id="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171450</xdr:rowOff>
                  </from>
                  <to>
                    <xdr:col>0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10</xdr:row>
                    <xdr:rowOff>171450</xdr:rowOff>
                  </from>
                  <to>
                    <xdr:col>0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12</xdr:row>
                    <xdr:rowOff>171450</xdr:rowOff>
                  </from>
                  <to>
                    <xdr:col>0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171450</xdr:rowOff>
                  </from>
                  <to>
                    <xdr:col>0</xdr:col>
                    <xdr:colOff>428625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10</xdr:row>
                    <xdr:rowOff>171450</xdr:rowOff>
                  </from>
                  <to>
                    <xdr:col>0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171450</xdr:rowOff>
                  </from>
                  <to>
                    <xdr:col>0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17</xdr:row>
                    <xdr:rowOff>171450</xdr:rowOff>
                  </from>
                  <to>
                    <xdr:col>0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18</xdr:row>
                    <xdr:rowOff>171450</xdr:rowOff>
                  </from>
                  <to>
                    <xdr:col>0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</xdr:col>
                    <xdr:colOff>180975</xdr:colOff>
                    <xdr:row>13</xdr:row>
                    <xdr:rowOff>171450</xdr:rowOff>
                  </from>
                  <to>
                    <xdr:col>4</xdr:col>
                    <xdr:colOff>428625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14</xdr:row>
                    <xdr:rowOff>171450</xdr:rowOff>
                  </from>
                  <to>
                    <xdr:col>4</xdr:col>
                    <xdr:colOff>428625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</xdr:col>
                    <xdr:colOff>180975</xdr:colOff>
                    <xdr:row>15</xdr:row>
                    <xdr:rowOff>171450</xdr:rowOff>
                  </from>
                  <to>
                    <xdr:col>4</xdr:col>
                    <xdr:colOff>428625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4</xdr:col>
                    <xdr:colOff>180975</xdr:colOff>
                    <xdr:row>17</xdr:row>
                    <xdr:rowOff>171450</xdr:rowOff>
                  </from>
                  <to>
                    <xdr:col>4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171450</xdr:rowOff>
                  </from>
                  <to>
                    <xdr:col>4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180975</xdr:colOff>
                    <xdr:row>18</xdr:row>
                    <xdr:rowOff>171450</xdr:rowOff>
                  </from>
                  <to>
                    <xdr:col>4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8</xdr:row>
                    <xdr:rowOff>171450</xdr:rowOff>
                  </from>
                  <to>
                    <xdr:col>7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9</xdr:row>
                    <xdr:rowOff>171450</xdr:rowOff>
                  </from>
                  <to>
                    <xdr:col>7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7</xdr:col>
                    <xdr:colOff>180975</xdr:colOff>
                    <xdr:row>10</xdr:row>
                    <xdr:rowOff>171450</xdr:rowOff>
                  </from>
                  <to>
                    <xdr:col>7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11</xdr:col>
                    <xdr:colOff>180975</xdr:colOff>
                    <xdr:row>9</xdr:row>
                    <xdr:rowOff>171450</xdr:rowOff>
                  </from>
                  <to>
                    <xdr:col>11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11</xdr:col>
                    <xdr:colOff>180975</xdr:colOff>
                    <xdr:row>10</xdr:row>
                    <xdr:rowOff>171450</xdr:rowOff>
                  </from>
                  <to>
                    <xdr:col>11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11</xdr:col>
                    <xdr:colOff>180975</xdr:colOff>
                    <xdr:row>11</xdr:row>
                    <xdr:rowOff>171450</xdr:rowOff>
                  </from>
                  <to>
                    <xdr:col>11</xdr:col>
                    <xdr:colOff>428625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11</xdr:col>
                    <xdr:colOff>180975</xdr:colOff>
                    <xdr:row>12</xdr:row>
                    <xdr:rowOff>171450</xdr:rowOff>
                  </from>
                  <to>
                    <xdr:col>11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171450</xdr:rowOff>
                  </from>
                  <to>
                    <xdr:col>11</xdr:col>
                    <xdr:colOff>428625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9</xdr:col>
                    <xdr:colOff>180975</xdr:colOff>
                    <xdr:row>17</xdr:row>
                    <xdr:rowOff>171450</xdr:rowOff>
                  </from>
                  <to>
                    <xdr:col>9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9</xdr:col>
                    <xdr:colOff>180975</xdr:colOff>
                    <xdr:row>16</xdr:row>
                    <xdr:rowOff>171450</xdr:rowOff>
                  </from>
                  <to>
                    <xdr:col>9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9</xdr:col>
                    <xdr:colOff>180975</xdr:colOff>
                    <xdr:row>18</xdr:row>
                    <xdr:rowOff>171450</xdr:rowOff>
                  </from>
                  <to>
                    <xdr:col>9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16</xdr:col>
                    <xdr:colOff>180975</xdr:colOff>
                    <xdr:row>8</xdr:row>
                    <xdr:rowOff>171450</xdr:rowOff>
                  </from>
                  <to>
                    <xdr:col>16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16</xdr:col>
                    <xdr:colOff>180975</xdr:colOff>
                    <xdr:row>9</xdr:row>
                    <xdr:rowOff>171450</xdr:rowOff>
                  </from>
                  <to>
                    <xdr:col>16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16</xdr:col>
                    <xdr:colOff>180975</xdr:colOff>
                    <xdr:row>10</xdr:row>
                    <xdr:rowOff>171450</xdr:rowOff>
                  </from>
                  <to>
                    <xdr:col>16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16</xdr:col>
                    <xdr:colOff>180975</xdr:colOff>
                    <xdr:row>11</xdr:row>
                    <xdr:rowOff>171450</xdr:rowOff>
                  </from>
                  <to>
                    <xdr:col>16</xdr:col>
                    <xdr:colOff>428625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22</xdr:col>
                    <xdr:colOff>190500</xdr:colOff>
                    <xdr:row>8</xdr:row>
                    <xdr:rowOff>0</xdr:rowOff>
                  </from>
                  <to>
                    <xdr:col>22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25</xdr:col>
                    <xdr:colOff>180975</xdr:colOff>
                    <xdr:row>7</xdr:row>
                    <xdr:rowOff>171450</xdr:rowOff>
                  </from>
                  <to>
                    <xdr:col>25</xdr:col>
                    <xdr:colOff>428625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24</xdr:col>
                    <xdr:colOff>180975</xdr:colOff>
                    <xdr:row>14</xdr:row>
                    <xdr:rowOff>171450</xdr:rowOff>
                  </from>
                  <to>
                    <xdr:col>24</xdr:col>
                    <xdr:colOff>428625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6" name="Check Box 40">
              <controlPr defaultSize="0" autoFill="0" autoLine="0" autoPict="0">
                <anchor moveWithCells="1">
                  <from>
                    <xdr:col>0</xdr:col>
                    <xdr:colOff>209550</xdr:colOff>
                    <xdr:row>0</xdr:row>
                    <xdr:rowOff>590550</xdr:rowOff>
                  </from>
                  <to>
                    <xdr:col>0</xdr:col>
                    <xdr:colOff>457200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Listes_deroulantes!$H$2:$H$8</xm:f>
          </x14:formula1>
          <xm:sqref>Y101:Z102</xm:sqref>
        </x14:dataValidation>
        <x14:dataValidation type="list" allowBlank="1" showInputMessage="1" showErrorMessage="1">
          <x14:formula1>
            <xm:f>Listes_deroulantes!$S$2:$S$5</xm:f>
          </x14:formula1>
          <xm:sqref>V102</xm:sqref>
        </x14:dataValidation>
        <x14:dataValidation type="list" allowBlank="1" showInputMessage="1" showErrorMessage="1">
          <x14:formula1>
            <xm:f>Listes_deroulantes!$R$2:$R$5</xm:f>
          </x14:formula1>
          <xm:sqref>W101</xm:sqref>
        </x14:dataValidation>
        <x14:dataValidation type="list" allowBlank="1" showInputMessage="1" showErrorMessage="1">
          <x14:formula1>
            <xm:f>Listes_deroulantes!$Q$2:$Q$5</xm:f>
          </x14:formula1>
          <xm:sqref>V101</xm:sqref>
        </x14:dataValidation>
        <x14:dataValidation type="list" allowBlank="1" showInputMessage="1" showErrorMessage="1">
          <x14:formula1>
            <xm:f>Listes_deroulantes!$M$2:$M$4</xm:f>
          </x14:formula1>
          <xm:sqref>N41:N42 J83 T59:T60 N89:N90</xm:sqref>
        </x14:dataValidation>
        <x14:dataValidation type="list" allowBlank="1" showInputMessage="1" showErrorMessage="1">
          <x14:formula1>
            <xm:f>Listes_deroulantes!$L$2:$L$14</xm:f>
          </x14:formula1>
          <xm:sqref>I25:T26 I37:T38 I43:T44 I49:T50 I55:T56 I61:T62 I67:T68 I73:T74 I79:T80 I85:T86 I91:T92 I31:T32</xm:sqref>
        </x14:dataValidation>
        <x14:dataValidation type="list" allowBlank="1" showInputMessage="1" showErrorMessage="1">
          <x14:formula1>
            <xm:f>Listes_deroulantes!$M$2:$M$5</xm:f>
          </x14:formula1>
          <xm:sqref>I83:I84 O89:T90 O41:T42 I95:T96 I89:M90 K83:T84 I77:T78 I71:T72 I65:T66 I59:S60 I53:T54 I47:T48 I41:M42 I35:T36 I29:T30</xm:sqref>
        </x14:dataValidation>
        <x14:dataValidation type="list" allowBlank="1" showInputMessage="1" showErrorMessage="1">
          <x14:formula1>
            <xm:f>Listes_deroulantes!$K$2:$K$6</xm:f>
          </x14:formula1>
          <xm:sqref>I33:T34 I39:T40 I45:T46 I51:T52 I57:T58 I63:T64 I69:T70 I75:T76 I81:T82 I87:T88 I93:T94 I27:T28</xm:sqref>
        </x14:dataValidation>
        <x14:dataValidation type="list" allowBlank="1" showInputMessage="1" showErrorMessage="1">
          <x14:formula1>
            <xm:f>Listes_deroulantes!$AA$2:$AA$6</xm:f>
          </x14:formula1>
          <xm:sqref>Z17</xm:sqref>
        </x14:dataValidation>
        <x14:dataValidation type="list" allowBlank="1" showInputMessage="1" showErrorMessage="1">
          <x14:formula1>
            <xm:f>Listes_deroulantes!$AB$2:$AB$5</xm:f>
          </x14:formula1>
          <xm:sqref>Z18</xm:sqref>
        </x14:dataValidation>
        <x14:dataValidation type="list" allowBlank="1" showInputMessage="1" showErrorMessage="1">
          <x14:formula1>
            <xm:f>Listes_deroulantes!$AC$2:$AC$3</xm:f>
          </x14:formula1>
          <xm:sqref>Z19</xm:sqref>
        </x14:dataValidation>
        <x14:dataValidation type="list" allowBlank="1" showInputMessage="1" showErrorMessage="1">
          <x14:formula1>
            <xm:f>'5-Station'!$A$2:$A$118</xm:f>
          </x14:formula1>
          <xm:sqref>L4:N4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opLeftCell="A85" zoomScale="85" zoomScaleNormal="85" workbookViewId="0">
      <selection activeCell="G53" sqref="G53"/>
    </sheetView>
  </sheetViews>
  <sheetFormatPr baseColWidth="10" defaultRowHeight="15"/>
  <cols>
    <col min="1" max="4" width="24.140625" style="15" customWidth="1"/>
    <col min="5" max="5" width="23.28515625" style="15" customWidth="1"/>
    <col min="6" max="6" width="24.85546875" style="16" customWidth="1"/>
    <col min="7" max="7" width="22.140625" style="16" customWidth="1"/>
    <col min="8" max="13" width="24.85546875" style="15" customWidth="1"/>
    <col min="14" max="19" width="29.140625" style="15" customWidth="1"/>
    <col min="20" max="20" width="19.28515625" style="15" customWidth="1"/>
    <col min="21" max="21" width="32.42578125" style="17" customWidth="1"/>
    <col min="22" max="37" width="12.140625" style="17" customWidth="1"/>
    <col min="38" max="252" width="11.42578125" style="17"/>
    <col min="253" max="256" width="24.140625" style="17" customWidth="1"/>
    <col min="257" max="257" width="22.140625" style="17" customWidth="1"/>
    <col min="258" max="258" width="24.85546875" style="17" customWidth="1"/>
    <col min="259" max="259" width="22.140625" style="17" customWidth="1"/>
    <col min="260" max="271" width="29.140625" style="17" customWidth="1"/>
    <col min="272" max="272" width="18.85546875" style="17" bestFit="1" customWidth="1"/>
    <col min="273" max="273" width="16.7109375" style="17" bestFit="1" customWidth="1"/>
    <col min="274" max="274" width="14.85546875" style="17" bestFit="1" customWidth="1"/>
    <col min="275" max="275" width="13.5703125" style="17" bestFit="1" customWidth="1"/>
    <col min="276" max="276" width="6" style="17" bestFit="1" customWidth="1"/>
    <col min="277" max="277" width="32.42578125" style="17" customWidth="1"/>
    <col min="278" max="293" width="12.140625" style="17" customWidth="1"/>
    <col min="294" max="508" width="11.42578125" style="17"/>
    <col min="509" max="512" width="24.140625" style="17" customWidth="1"/>
    <col min="513" max="513" width="22.140625" style="17" customWidth="1"/>
    <col min="514" max="514" width="24.85546875" style="17" customWidth="1"/>
    <col min="515" max="515" width="22.140625" style="17" customWidth="1"/>
    <col min="516" max="527" width="29.140625" style="17" customWidth="1"/>
    <col min="528" max="528" width="18.85546875" style="17" bestFit="1" customWidth="1"/>
    <col min="529" max="529" width="16.7109375" style="17" bestFit="1" customWidth="1"/>
    <col min="530" max="530" width="14.85546875" style="17" bestFit="1" customWidth="1"/>
    <col min="531" max="531" width="13.5703125" style="17" bestFit="1" customWidth="1"/>
    <col min="532" max="532" width="6" style="17" bestFit="1" customWidth="1"/>
    <col min="533" max="533" width="32.42578125" style="17" customWidth="1"/>
    <col min="534" max="549" width="12.140625" style="17" customWidth="1"/>
    <col min="550" max="764" width="11.42578125" style="17"/>
    <col min="765" max="768" width="24.140625" style="17" customWidth="1"/>
    <col min="769" max="769" width="22.140625" style="17" customWidth="1"/>
    <col min="770" max="770" width="24.85546875" style="17" customWidth="1"/>
    <col min="771" max="771" width="22.140625" style="17" customWidth="1"/>
    <col min="772" max="783" width="29.140625" style="17" customWidth="1"/>
    <col min="784" max="784" width="18.85546875" style="17" bestFit="1" customWidth="1"/>
    <col min="785" max="785" width="16.7109375" style="17" bestFit="1" customWidth="1"/>
    <col min="786" max="786" width="14.85546875" style="17" bestFit="1" customWidth="1"/>
    <col min="787" max="787" width="13.5703125" style="17" bestFit="1" customWidth="1"/>
    <col min="788" max="788" width="6" style="17" bestFit="1" customWidth="1"/>
    <col min="789" max="789" width="32.42578125" style="17" customWidth="1"/>
    <col min="790" max="805" width="12.140625" style="17" customWidth="1"/>
    <col min="806" max="1020" width="11.42578125" style="17"/>
    <col min="1021" max="1024" width="24.140625" style="17" customWidth="1"/>
    <col min="1025" max="1025" width="22.140625" style="17" customWidth="1"/>
    <col min="1026" max="1026" width="24.85546875" style="17" customWidth="1"/>
    <col min="1027" max="1027" width="22.140625" style="17" customWidth="1"/>
    <col min="1028" max="1039" width="29.140625" style="17" customWidth="1"/>
    <col min="1040" max="1040" width="18.85546875" style="17" bestFit="1" customWidth="1"/>
    <col min="1041" max="1041" width="16.7109375" style="17" bestFit="1" customWidth="1"/>
    <col min="1042" max="1042" width="14.85546875" style="17" bestFit="1" customWidth="1"/>
    <col min="1043" max="1043" width="13.5703125" style="17" bestFit="1" customWidth="1"/>
    <col min="1044" max="1044" width="6" style="17" bestFit="1" customWidth="1"/>
    <col min="1045" max="1045" width="32.42578125" style="17" customWidth="1"/>
    <col min="1046" max="1061" width="12.140625" style="17" customWidth="1"/>
    <col min="1062" max="1276" width="11.42578125" style="17"/>
    <col min="1277" max="1280" width="24.140625" style="17" customWidth="1"/>
    <col min="1281" max="1281" width="22.140625" style="17" customWidth="1"/>
    <col min="1282" max="1282" width="24.85546875" style="17" customWidth="1"/>
    <col min="1283" max="1283" width="22.140625" style="17" customWidth="1"/>
    <col min="1284" max="1295" width="29.140625" style="17" customWidth="1"/>
    <col min="1296" max="1296" width="18.85546875" style="17" bestFit="1" customWidth="1"/>
    <col min="1297" max="1297" width="16.7109375" style="17" bestFit="1" customWidth="1"/>
    <col min="1298" max="1298" width="14.85546875" style="17" bestFit="1" customWidth="1"/>
    <col min="1299" max="1299" width="13.5703125" style="17" bestFit="1" customWidth="1"/>
    <col min="1300" max="1300" width="6" style="17" bestFit="1" customWidth="1"/>
    <col min="1301" max="1301" width="32.42578125" style="17" customWidth="1"/>
    <col min="1302" max="1317" width="12.140625" style="17" customWidth="1"/>
    <col min="1318" max="1532" width="11.42578125" style="17"/>
    <col min="1533" max="1536" width="24.140625" style="17" customWidth="1"/>
    <col min="1537" max="1537" width="22.140625" style="17" customWidth="1"/>
    <col min="1538" max="1538" width="24.85546875" style="17" customWidth="1"/>
    <col min="1539" max="1539" width="22.140625" style="17" customWidth="1"/>
    <col min="1540" max="1551" width="29.140625" style="17" customWidth="1"/>
    <col min="1552" max="1552" width="18.85546875" style="17" bestFit="1" customWidth="1"/>
    <col min="1553" max="1553" width="16.7109375" style="17" bestFit="1" customWidth="1"/>
    <col min="1554" max="1554" width="14.85546875" style="17" bestFit="1" customWidth="1"/>
    <col min="1555" max="1555" width="13.5703125" style="17" bestFit="1" customWidth="1"/>
    <col min="1556" max="1556" width="6" style="17" bestFit="1" customWidth="1"/>
    <col min="1557" max="1557" width="32.42578125" style="17" customWidth="1"/>
    <col min="1558" max="1573" width="12.140625" style="17" customWidth="1"/>
    <col min="1574" max="1788" width="11.42578125" style="17"/>
    <col min="1789" max="1792" width="24.140625" style="17" customWidth="1"/>
    <col min="1793" max="1793" width="22.140625" style="17" customWidth="1"/>
    <col min="1794" max="1794" width="24.85546875" style="17" customWidth="1"/>
    <col min="1795" max="1795" width="22.140625" style="17" customWidth="1"/>
    <col min="1796" max="1807" width="29.140625" style="17" customWidth="1"/>
    <col min="1808" max="1808" width="18.85546875" style="17" bestFit="1" customWidth="1"/>
    <col min="1809" max="1809" width="16.7109375" style="17" bestFit="1" customWidth="1"/>
    <col min="1810" max="1810" width="14.85546875" style="17" bestFit="1" customWidth="1"/>
    <col min="1811" max="1811" width="13.5703125" style="17" bestFit="1" customWidth="1"/>
    <col min="1812" max="1812" width="6" style="17" bestFit="1" customWidth="1"/>
    <col min="1813" max="1813" width="32.42578125" style="17" customWidth="1"/>
    <col min="1814" max="1829" width="12.140625" style="17" customWidth="1"/>
    <col min="1830" max="2044" width="11.42578125" style="17"/>
    <col min="2045" max="2048" width="24.140625" style="17" customWidth="1"/>
    <col min="2049" max="2049" width="22.140625" style="17" customWidth="1"/>
    <col min="2050" max="2050" width="24.85546875" style="17" customWidth="1"/>
    <col min="2051" max="2051" width="22.140625" style="17" customWidth="1"/>
    <col min="2052" max="2063" width="29.140625" style="17" customWidth="1"/>
    <col min="2064" max="2064" width="18.85546875" style="17" bestFit="1" customWidth="1"/>
    <col min="2065" max="2065" width="16.7109375" style="17" bestFit="1" customWidth="1"/>
    <col min="2066" max="2066" width="14.85546875" style="17" bestFit="1" customWidth="1"/>
    <col min="2067" max="2067" width="13.5703125" style="17" bestFit="1" customWidth="1"/>
    <col min="2068" max="2068" width="6" style="17" bestFit="1" customWidth="1"/>
    <col min="2069" max="2069" width="32.42578125" style="17" customWidth="1"/>
    <col min="2070" max="2085" width="12.140625" style="17" customWidth="1"/>
    <col min="2086" max="2300" width="11.42578125" style="17"/>
    <col min="2301" max="2304" width="24.140625" style="17" customWidth="1"/>
    <col min="2305" max="2305" width="22.140625" style="17" customWidth="1"/>
    <col min="2306" max="2306" width="24.85546875" style="17" customWidth="1"/>
    <col min="2307" max="2307" width="22.140625" style="17" customWidth="1"/>
    <col min="2308" max="2319" width="29.140625" style="17" customWidth="1"/>
    <col min="2320" max="2320" width="18.85546875" style="17" bestFit="1" customWidth="1"/>
    <col min="2321" max="2321" width="16.7109375" style="17" bestFit="1" customWidth="1"/>
    <col min="2322" max="2322" width="14.85546875" style="17" bestFit="1" customWidth="1"/>
    <col min="2323" max="2323" width="13.5703125" style="17" bestFit="1" customWidth="1"/>
    <col min="2324" max="2324" width="6" style="17" bestFit="1" customWidth="1"/>
    <col min="2325" max="2325" width="32.42578125" style="17" customWidth="1"/>
    <col min="2326" max="2341" width="12.140625" style="17" customWidth="1"/>
    <col min="2342" max="2556" width="11.42578125" style="17"/>
    <col min="2557" max="2560" width="24.140625" style="17" customWidth="1"/>
    <col min="2561" max="2561" width="22.140625" style="17" customWidth="1"/>
    <col min="2562" max="2562" width="24.85546875" style="17" customWidth="1"/>
    <col min="2563" max="2563" width="22.140625" style="17" customWidth="1"/>
    <col min="2564" max="2575" width="29.140625" style="17" customWidth="1"/>
    <col min="2576" max="2576" width="18.85546875" style="17" bestFit="1" customWidth="1"/>
    <col min="2577" max="2577" width="16.7109375" style="17" bestFit="1" customWidth="1"/>
    <col min="2578" max="2578" width="14.85546875" style="17" bestFit="1" customWidth="1"/>
    <col min="2579" max="2579" width="13.5703125" style="17" bestFit="1" customWidth="1"/>
    <col min="2580" max="2580" width="6" style="17" bestFit="1" customWidth="1"/>
    <col min="2581" max="2581" width="32.42578125" style="17" customWidth="1"/>
    <col min="2582" max="2597" width="12.140625" style="17" customWidth="1"/>
    <col min="2598" max="2812" width="11.42578125" style="17"/>
    <col min="2813" max="2816" width="24.140625" style="17" customWidth="1"/>
    <col min="2817" max="2817" width="22.140625" style="17" customWidth="1"/>
    <col min="2818" max="2818" width="24.85546875" style="17" customWidth="1"/>
    <col min="2819" max="2819" width="22.140625" style="17" customWidth="1"/>
    <col min="2820" max="2831" width="29.140625" style="17" customWidth="1"/>
    <col min="2832" max="2832" width="18.85546875" style="17" bestFit="1" customWidth="1"/>
    <col min="2833" max="2833" width="16.7109375" style="17" bestFit="1" customWidth="1"/>
    <col min="2834" max="2834" width="14.85546875" style="17" bestFit="1" customWidth="1"/>
    <col min="2835" max="2835" width="13.5703125" style="17" bestFit="1" customWidth="1"/>
    <col min="2836" max="2836" width="6" style="17" bestFit="1" customWidth="1"/>
    <col min="2837" max="2837" width="32.42578125" style="17" customWidth="1"/>
    <col min="2838" max="2853" width="12.140625" style="17" customWidth="1"/>
    <col min="2854" max="3068" width="11.42578125" style="17"/>
    <col min="3069" max="3072" width="24.140625" style="17" customWidth="1"/>
    <col min="3073" max="3073" width="22.140625" style="17" customWidth="1"/>
    <col min="3074" max="3074" width="24.85546875" style="17" customWidth="1"/>
    <col min="3075" max="3075" width="22.140625" style="17" customWidth="1"/>
    <col min="3076" max="3087" width="29.140625" style="17" customWidth="1"/>
    <col min="3088" max="3088" width="18.85546875" style="17" bestFit="1" customWidth="1"/>
    <col min="3089" max="3089" width="16.7109375" style="17" bestFit="1" customWidth="1"/>
    <col min="3090" max="3090" width="14.85546875" style="17" bestFit="1" customWidth="1"/>
    <col min="3091" max="3091" width="13.5703125" style="17" bestFit="1" customWidth="1"/>
    <col min="3092" max="3092" width="6" style="17" bestFit="1" customWidth="1"/>
    <col min="3093" max="3093" width="32.42578125" style="17" customWidth="1"/>
    <col min="3094" max="3109" width="12.140625" style="17" customWidth="1"/>
    <col min="3110" max="3324" width="11.42578125" style="17"/>
    <col min="3325" max="3328" width="24.140625" style="17" customWidth="1"/>
    <col min="3329" max="3329" width="22.140625" style="17" customWidth="1"/>
    <col min="3330" max="3330" width="24.85546875" style="17" customWidth="1"/>
    <col min="3331" max="3331" width="22.140625" style="17" customWidth="1"/>
    <col min="3332" max="3343" width="29.140625" style="17" customWidth="1"/>
    <col min="3344" max="3344" width="18.85546875" style="17" bestFit="1" customWidth="1"/>
    <col min="3345" max="3345" width="16.7109375" style="17" bestFit="1" customWidth="1"/>
    <col min="3346" max="3346" width="14.85546875" style="17" bestFit="1" customWidth="1"/>
    <col min="3347" max="3347" width="13.5703125" style="17" bestFit="1" customWidth="1"/>
    <col min="3348" max="3348" width="6" style="17" bestFit="1" customWidth="1"/>
    <col min="3349" max="3349" width="32.42578125" style="17" customWidth="1"/>
    <col min="3350" max="3365" width="12.140625" style="17" customWidth="1"/>
    <col min="3366" max="3580" width="11.42578125" style="17"/>
    <col min="3581" max="3584" width="24.140625" style="17" customWidth="1"/>
    <col min="3585" max="3585" width="22.140625" style="17" customWidth="1"/>
    <col min="3586" max="3586" width="24.85546875" style="17" customWidth="1"/>
    <col min="3587" max="3587" width="22.140625" style="17" customWidth="1"/>
    <col min="3588" max="3599" width="29.140625" style="17" customWidth="1"/>
    <col min="3600" max="3600" width="18.85546875" style="17" bestFit="1" customWidth="1"/>
    <col min="3601" max="3601" width="16.7109375" style="17" bestFit="1" customWidth="1"/>
    <col min="3602" max="3602" width="14.85546875" style="17" bestFit="1" customWidth="1"/>
    <col min="3603" max="3603" width="13.5703125" style="17" bestFit="1" customWidth="1"/>
    <col min="3604" max="3604" width="6" style="17" bestFit="1" customWidth="1"/>
    <col min="3605" max="3605" width="32.42578125" style="17" customWidth="1"/>
    <col min="3606" max="3621" width="12.140625" style="17" customWidth="1"/>
    <col min="3622" max="3836" width="11.42578125" style="17"/>
    <col min="3837" max="3840" width="24.140625" style="17" customWidth="1"/>
    <col min="3841" max="3841" width="22.140625" style="17" customWidth="1"/>
    <col min="3842" max="3842" width="24.85546875" style="17" customWidth="1"/>
    <col min="3843" max="3843" width="22.140625" style="17" customWidth="1"/>
    <col min="3844" max="3855" width="29.140625" style="17" customWidth="1"/>
    <col min="3856" max="3856" width="18.85546875" style="17" bestFit="1" customWidth="1"/>
    <col min="3857" max="3857" width="16.7109375" style="17" bestFit="1" customWidth="1"/>
    <col min="3858" max="3858" width="14.85546875" style="17" bestFit="1" customWidth="1"/>
    <col min="3859" max="3859" width="13.5703125" style="17" bestFit="1" customWidth="1"/>
    <col min="3860" max="3860" width="6" style="17" bestFit="1" customWidth="1"/>
    <col min="3861" max="3861" width="32.42578125" style="17" customWidth="1"/>
    <col min="3862" max="3877" width="12.140625" style="17" customWidth="1"/>
    <col min="3878" max="4092" width="11.42578125" style="17"/>
    <col min="4093" max="4096" width="24.140625" style="17" customWidth="1"/>
    <col min="4097" max="4097" width="22.140625" style="17" customWidth="1"/>
    <col min="4098" max="4098" width="24.85546875" style="17" customWidth="1"/>
    <col min="4099" max="4099" width="22.140625" style="17" customWidth="1"/>
    <col min="4100" max="4111" width="29.140625" style="17" customWidth="1"/>
    <col min="4112" max="4112" width="18.85546875" style="17" bestFit="1" customWidth="1"/>
    <col min="4113" max="4113" width="16.7109375" style="17" bestFit="1" customWidth="1"/>
    <col min="4114" max="4114" width="14.85546875" style="17" bestFit="1" customWidth="1"/>
    <col min="4115" max="4115" width="13.5703125" style="17" bestFit="1" customWidth="1"/>
    <col min="4116" max="4116" width="6" style="17" bestFit="1" customWidth="1"/>
    <col min="4117" max="4117" width="32.42578125" style="17" customWidth="1"/>
    <col min="4118" max="4133" width="12.140625" style="17" customWidth="1"/>
    <col min="4134" max="4348" width="11.42578125" style="17"/>
    <col min="4349" max="4352" width="24.140625" style="17" customWidth="1"/>
    <col min="4353" max="4353" width="22.140625" style="17" customWidth="1"/>
    <col min="4354" max="4354" width="24.85546875" style="17" customWidth="1"/>
    <col min="4355" max="4355" width="22.140625" style="17" customWidth="1"/>
    <col min="4356" max="4367" width="29.140625" style="17" customWidth="1"/>
    <col min="4368" max="4368" width="18.85546875" style="17" bestFit="1" customWidth="1"/>
    <col min="4369" max="4369" width="16.7109375" style="17" bestFit="1" customWidth="1"/>
    <col min="4370" max="4370" width="14.85546875" style="17" bestFit="1" customWidth="1"/>
    <col min="4371" max="4371" width="13.5703125" style="17" bestFit="1" customWidth="1"/>
    <col min="4372" max="4372" width="6" style="17" bestFit="1" customWidth="1"/>
    <col min="4373" max="4373" width="32.42578125" style="17" customWidth="1"/>
    <col min="4374" max="4389" width="12.140625" style="17" customWidth="1"/>
    <col min="4390" max="4604" width="11.42578125" style="17"/>
    <col min="4605" max="4608" width="24.140625" style="17" customWidth="1"/>
    <col min="4609" max="4609" width="22.140625" style="17" customWidth="1"/>
    <col min="4610" max="4610" width="24.85546875" style="17" customWidth="1"/>
    <col min="4611" max="4611" width="22.140625" style="17" customWidth="1"/>
    <col min="4612" max="4623" width="29.140625" style="17" customWidth="1"/>
    <col min="4624" max="4624" width="18.85546875" style="17" bestFit="1" customWidth="1"/>
    <col min="4625" max="4625" width="16.7109375" style="17" bestFit="1" customWidth="1"/>
    <col min="4626" max="4626" width="14.85546875" style="17" bestFit="1" customWidth="1"/>
    <col min="4627" max="4627" width="13.5703125" style="17" bestFit="1" customWidth="1"/>
    <col min="4628" max="4628" width="6" style="17" bestFit="1" customWidth="1"/>
    <col min="4629" max="4629" width="32.42578125" style="17" customWidth="1"/>
    <col min="4630" max="4645" width="12.140625" style="17" customWidth="1"/>
    <col min="4646" max="4860" width="11.42578125" style="17"/>
    <col min="4861" max="4864" width="24.140625" style="17" customWidth="1"/>
    <col min="4865" max="4865" width="22.140625" style="17" customWidth="1"/>
    <col min="4866" max="4866" width="24.85546875" style="17" customWidth="1"/>
    <col min="4867" max="4867" width="22.140625" style="17" customWidth="1"/>
    <col min="4868" max="4879" width="29.140625" style="17" customWidth="1"/>
    <col min="4880" max="4880" width="18.85546875" style="17" bestFit="1" customWidth="1"/>
    <col min="4881" max="4881" width="16.7109375" style="17" bestFit="1" customWidth="1"/>
    <col min="4882" max="4882" width="14.85546875" style="17" bestFit="1" customWidth="1"/>
    <col min="4883" max="4883" width="13.5703125" style="17" bestFit="1" customWidth="1"/>
    <col min="4884" max="4884" width="6" style="17" bestFit="1" customWidth="1"/>
    <col min="4885" max="4885" width="32.42578125" style="17" customWidth="1"/>
    <col min="4886" max="4901" width="12.140625" style="17" customWidth="1"/>
    <col min="4902" max="5116" width="11.42578125" style="17"/>
    <col min="5117" max="5120" width="24.140625" style="17" customWidth="1"/>
    <col min="5121" max="5121" width="22.140625" style="17" customWidth="1"/>
    <col min="5122" max="5122" width="24.85546875" style="17" customWidth="1"/>
    <col min="5123" max="5123" width="22.140625" style="17" customWidth="1"/>
    <col min="5124" max="5135" width="29.140625" style="17" customWidth="1"/>
    <col min="5136" max="5136" width="18.85546875" style="17" bestFit="1" customWidth="1"/>
    <col min="5137" max="5137" width="16.7109375" style="17" bestFit="1" customWidth="1"/>
    <col min="5138" max="5138" width="14.85546875" style="17" bestFit="1" customWidth="1"/>
    <col min="5139" max="5139" width="13.5703125" style="17" bestFit="1" customWidth="1"/>
    <col min="5140" max="5140" width="6" style="17" bestFit="1" customWidth="1"/>
    <col min="5141" max="5141" width="32.42578125" style="17" customWidth="1"/>
    <col min="5142" max="5157" width="12.140625" style="17" customWidth="1"/>
    <col min="5158" max="5372" width="11.42578125" style="17"/>
    <col min="5373" max="5376" width="24.140625" style="17" customWidth="1"/>
    <col min="5377" max="5377" width="22.140625" style="17" customWidth="1"/>
    <col min="5378" max="5378" width="24.85546875" style="17" customWidth="1"/>
    <col min="5379" max="5379" width="22.140625" style="17" customWidth="1"/>
    <col min="5380" max="5391" width="29.140625" style="17" customWidth="1"/>
    <col min="5392" max="5392" width="18.85546875" style="17" bestFit="1" customWidth="1"/>
    <col min="5393" max="5393" width="16.7109375" style="17" bestFit="1" customWidth="1"/>
    <col min="5394" max="5394" width="14.85546875" style="17" bestFit="1" customWidth="1"/>
    <col min="5395" max="5395" width="13.5703125" style="17" bestFit="1" customWidth="1"/>
    <col min="5396" max="5396" width="6" style="17" bestFit="1" customWidth="1"/>
    <col min="5397" max="5397" width="32.42578125" style="17" customWidth="1"/>
    <col min="5398" max="5413" width="12.140625" style="17" customWidth="1"/>
    <col min="5414" max="5628" width="11.42578125" style="17"/>
    <col min="5629" max="5632" width="24.140625" style="17" customWidth="1"/>
    <col min="5633" max="5633" width="22.140625" style="17" customWidth="1"/>
    <col min="5634" max="5634" width="24.85546875" style="17" customWidth="1"/>
    <col min="5635" max="5635" width="22.140625" style="17" customWidth="1"/>
    <col min="5636" max="5647" width="29.140625" style="17" customWidth="1"/>
    <col min="5648" max="5648" width="18.85546875" style="17" bestFit="1" customWidth="1"/>
    <col min="5649" max="5649" width="16.7109375" style="17" bestFit="1" customWidth="1"/>
    <col min="5650" max="5650" width="14.85546875" style="17" bestFit="1" customWidth="1"/>
    <col min="5651" max="5651" width="13.5703125" style="17" bestFit="1" customWidth="1"/>
    <col min="5652" max="5652" width="6" style="17" bestFit="1" customWidth="1"/>
    <col min="5653" max="5653" width="32.42578125" style="17" customWidth="1"/>
    <col min="5654" max="5669" width="12.140625" style="17" customWidth="1"/>
    <col min="5670" max="5884" width="11.42578125" style="17"/>
    <col min="5885" max="5888" width="24.140625" style="17" customWidth="1"/>
    <col min="5889" max="5889" width="22.140625" style="17" customWidth="1"/>
    <col min="5890" max="5890" width="24.85546875" style="17" customWidth="1"/>
    <col min="5891" max="5891" width="22.140625" style="17" customWidth="1"/>
    <col min="5892" max="5903" width="29.140625" style="17" customWidth="1"/>
    <col min="5904" max="5904" width="18.85546875" style="17" bestFit="1" customWidth="1"/>
    <col min="5905" max="5905" width="16.7109375" style="17" bestFit="1" customWidth="1"/>
    <col min="5906" max="5906" width="14.85546875" style="17" bestFit="1" customWidth="1"/>
    <col min="5907" max="5907" width="13.5703125" style="17" bestFit="1" customWidth="1"/>
    <col min="5908" max="5908" width="6" style="17" bestFit="1" customWidth="1"/>
    <col min="5909" max="5909" width="32.42578125" style="17" customWidth="1"/>
    <col min="5910" max="5925" width="12.140625" style="17" customWidth="1"/>
    <col min="5926" max="6140" width="11.42578125" style="17"/>
    <col min="6141" max="6144" width="24.140625" style="17" customWidth="1"/>
    <col min="6145" max="6145" width="22.140625" style="17" customWidth="1"/>
    <col min="6146" max="6146" width="24.85546875" style="17" customWidth="1"/>
    <col min="6147" max="6147" width="22.140625" style="17" customWidth="1"/>
    <col min="6148" max="6159" width="29.140625" style="17" customWidth="1"/>
    <col min="6160" max="6160" width="18.85546875" style="17" bestFit="1" customWidth="1"/>
    <col min="6161" max="6161" width="16.7109375" style="17" bestFit="1" customWidth="1"/>
    <col min="6162" max="6162" width="14.85546875" style="17" bestFit="1" customWidth="1"/>
    <col min="6163" max="6163" width="13.5703125" style="17" bestFit="1" customWidth="1"/>
    <col min="6164" max="6164" width="6" style="17" bestFit="1" customWidth="1"/>
    <col min="6165" max="6165" width="32.42578125" style="17" customWidth="1"/>
    <col min="6166" max="6181" width="12.140625" style="17" customWidth="1"/>
    <col min="6182" max="6396" width="11.42578125" style="17"/>
    <col min="6397" max="6400" width="24.140625" style="17" customWidth="1"/>
    <col min="6401" max="6401" width="22.140625" style="17" customWidth="1"/>
    <col min="6402" max="6402" width="24.85546875" style="17" customWidth="1"/>
    <col min="6403" max="6403" width="22.140625" style="17" customWidth="1"/>
    <col min="6404" max="6415" width="29.140625" style="17" customWidth="1"/>
    <col min="6416" max="6416" width="18.85546875" style="17" bestFit="1" customWidth="1"/>
    <col min="6417" max="6417" width="16.7109375" style="17" bestFit="1" customWidth="1"/>
    <col min="6418" max="6418" width="14.85546875" style="17" bestFit="1" customWidth="1"/>
    <col min="6419" max="6419" width="13.5703125" style="17" bestFit="1" customWidth="1"/>
    <col min="6420" max="6420" width="6" style="17" bestFit="1" customWidth="1"/>
    <col min="6421" max="6421" width="32.42578125" style="17" customWidth="1"/>
    <col min="6422" max="6437" width="12.140625" style="17" customWidth="1"/>
    <col min="6438" max="6652" width="11.42578125" style="17"/>
    <col min="6653" max="6656" width="24.140625" style="17" customWidth="1"/>
    <col min="6657" max="6657" width="22.140625" style="17" customWidth="1"/>
    <col min="6658" max="6658" width="24.85546875" style="17" customWidth="1"/>
    <col min="6659" max="6659" width="22.140625" style="17" customWidth="1"/>
    <col min="6660" max="6671" width="29.140625" style="17" customWidth="1"/>
    <col min="6672" max="6672" width="18.85546875" style="17" bestFit="1" customWidth="1"/>
    <col min="6673" max="6673" width="16.7109375" style="17" bestFit="1" customWidth="1"/>
    <col min="6674" max="6674" width="14.85546875" style="17" bestFit="1" customWidth="1"/>
    <col min="6675" max="6675" width="13.5703125" style="17" bestFit="1" customWidth="1"/>
    <col min="6676" max="6676" width="6" style="17" bestFit="1" customWidth="1"/>
    <col min="6677" max="6677" width="32.42578125" style="17" customWidth="1"/>
    <col min="6678" max="6693" width="12.140625" style="17" customWidth="1"/>
    <col min="6694" max="6908" width="11.42578125" style="17"/>
    <col min="6909" max="6912" width="24.140625" style="17" customWidth="1"/>
    <col min="6913" max="6913" width="22.140625" style="17" customWidth="1"/>
    <col min="6914" max="6914" width="24.85546875" style="17" customWidth="1"/>
    <col min="6915" max="6915" width="22.140625" style="17" customWidth="1"/>
    <col min="6916" max="6927" width="29.140625" style="17" customWidth="1"/>
    <col min="6928" max="6928" width="18.85546875" style="17" bestFit="1" customWidth="1"/>
    <col min="6929" max="6929" width="16.7109375" style="17" bestFit="1" customWidth="1"/>
    <col min="6930" max="6930" width="14.85546875" style="17" bestFit="1" customWidth="1"/>
    <col min="6931" max="6931" width="13.5703125" style="17" bestFit="1" customWidth="1"/>
    <col min="6932" max="6932" width="6" style="17" bestFit="1" customWidth="1"/>
    <col min="6933" max="6933" width="32.42578125" style="17" customWidth="1"/>
    <col min="6934" max="6949" width="12.140625" style="17" customWidth="1"/>
    <col min="6950" max="7164" width="11.42578125" style="17"/>
    <col min="7165" max="7168" width="24.140625" style="17" customWidth="1"/>
    <col min="7169" max="7169" width="22.140625" style="17" customWidth="1"/>
    <col min="7170" max="7170" width="24.85546875" style="17" customWidth="1"/>
    <col min="7171" max="7171" width="22.140625" style="17" customWidth="1"/>
    <col min="7172" max="7183" width="29.140625" style="17" customWidth="1"/>
    <col min="7184" max="7184" width="18.85546875" style="17" bestFit="1" customWidth="1"/>
    <col min="7185" max="7185" width="16.7109375" style="17" bestFit="1" customWidth="1"/>
    <col min="7186" max="7186" width="14.85546875" style="17" bestFit="1" customWidth="1"/>
    <col min="7187" max="7187" width="13.5703125" style="17" bestFit="1" customWidth="1"/>
    <col min="7188" max="7188" width="6" style="17" bestFit="1" customWidth="1"/>
    <col min="7189" max="7189" width="32.42578125" style="17" customWidth="1"/>
    <col min="7190" max="7205" width="12.140625" style="17" customWidth="1"/>
    <col min="7206" max="7420" width="11.42578125" style="17"/>
    <col min="7421" max="7424" width="24.140625" style="17" customWidth="1"/>
    <col min="7425" max="7425" width="22.140625" style="17" customWidth="1"/>
    <col min="7426" max="7426" width="24.85546875" style="17" customWidth="1"/>
    <col min="7427" max="7427" width="22.140625" style="17" customWidth="1"/>
    <col min="7428" max="7439" width="29.140625" style="17" customWidth="1"/>
    <col min="7440" max="7440" width="18.85546875" style="17" bestFit="1" customWidth="1"/>
    <col min="7441" max="7441" width="16.7109375" style="17" bestFit="1" customWidth="1"/>
    <col min="7442" max="7442" width="14.85546875" style="17" bestFit="1" customWidth="1"/>
    <col min="7443" max="7443" width="13.5703125" style="17" bestFit="1" customWidth="1"/>
    <col min="7444" max="7444" width="6" style="17" bestFit="1" customWidth="1"/>
    <col min="7445" max="7445" width="32.42578125" style="17" customWidth="1"/>
    <col min="7446" max="7461" width="12.140625" style="17" customWidth="1"/>
    <col min="7462" max="7676" width="11.42578125" style="17"/>
    <col min="7677" max="7680" width="24.140625" style="17" customWidth="1"/>
    <col min="7681" max="7681" width="22.140625" style="17" customWidth="1"/>
    <col min="7682" max="7682" width="24.85546875" style="17" customWidth="1"/>
    <col min="7683" max="7683" width="22.140625" style="17" customWidth="1"/>
    <col min="7684" max="7695" width="29.140625" style="17" customWidth="1"/>
    <col min="7696" max="7696" width="18.85546875" style="17" bestFit="1" customWidth="1"/>
    <col min="7697" max="7697" width="16.7109375" style="17" bestFit="1" customWidth="1"/>
    <col min="7698" max="7698" width="14.85546875" style="17" bestFit="1" customWidth="1"/>
    <col min="7699" max="7699" width="13.5703125" style="17" bestFit="1" customWidth="1"/>
    <col min="7700" max="7700" width="6" style="17" bestFit="1" customWidth="1"/>
    <col min="7701" max="7701" width="32.42578125" style="17" customWidth="1"/>
    <col min="7702" max="7717" width="12.140625" style="17" customWidth="1"/>
    <col min="7718" max="7932" width="11.42578125" style="17"/>
    <col min="7933" max="7936" width="24.140625" style="17" customWidth="1"/>
    <col min="7937" max="7937" width="22.140625" style="17" customWidth="1"/>
    <col min="7938" max="7938" width="24.85546875" style="17" customWidth="1"/>
    <col min="7939" max="7939" width="22.140625" style="17" customWidth="1"/>
    <col min="7940" max="7951" width="29.140625" style="17" customWidth="1"/>
    <col min="7952" max="7952" width="18.85546875" style="17" bestFit="1" customWidth="1"/>
    <col min="7953" max="7953" width="16.7109375" style="17" bestFit="1" customWidth="1"/>
    <col min="7954" max="7954" width="14.85546875" style="17" bestFit="1" customWidth="1"/>
    <col min="7955" max="7955" width="13.5703125" style="17" bestFit="1" customWidth="1"/>
    <col min="7956" max="7956" width="6" style="17" bestFit="1" customWidth="1"/>
    <col min="7957" max="7957" width="32.42578125" style="17" customWidth="1"/>
    <col min="7958" max="7973" width="12.140625" style="17" customWidth="1"/>
    <col min="7974" max="8188" width="11.42578125" style="17"/>
    <col min="8189" max="8192" width="24.140625" style="17" customWidth="1"/>
    <col min="8193" max="8193" width="22.140625" style="17" customWidth="1"/>
    <col min="8194" max="8194" width="24.85546875" style="17" customWidth="1"/>
    <col min="8195" max="8195" width="22.140625" style="17" customWidth="1"/>
    <col min="8196" max="8207" width="29.140625" style="17" customWidth="1"/>
    <col min="8208" max="8208" width="18.85546875" style="17" bestFit="1" customWidth="1"/>
    <col min="8209" max="8209" width="16.7109375" style="17" bestFit="1" customWidth="1"/>
    <col min="8210" max="8210" width="14.85546875" style="17" bestFit="1" customWidth="1"/>
    <col min="8211" max="8211" width="13.5703125" style="17" bestFit="1" customWidth="1"/>
    <col min="8212" max="8212" width="6" style="17" bestFit="1" customWidth="1"/>
    <col min="8213" max="8213" width="32.42578125" style="17" customWidth="1"/>
    <col min="8214" max="8229" width="12.140625" style="17" customWidth="1"/>
    <col min="8230" max="8444" width="11.42578125" style="17"/>
    <col min="8445" max="8448" width="24.140625" style="17" customWidth="1"/>
    <col min="8449" max="8449" width="22.140625" style="17" customWidth="1"/>
    <col min="8450" max="8450" width="24.85546875" style="17" customWidth="1"/>
    <col min="8451" max="8451" width="22.140625" style="17" customWidth="1"/>
    <col min="8452" max="8463" width="29.140625" style="17" customWidth="1"/>
    <col min="8464" max="8464" width="18.85546875" style="17" bestFit="1" customWidth="1"/>
    <col min="8465" max="8465" width="16.7109375" style="17" bestFit="1" customWidth="1"/>
    <col min="8466" max="8466" width="14.85546875" style="17" bestFit="1" customWidth="1"/>
    <col min="8467" max="8467" width="13.5703125" style="17" bestFit="1" customWidth="1"/>
    <col min="8468" max="8468" width="6" style="17" bestFit="1" customWidth="1"/>
    <col min="8469" max="8469" width="32.42578125" style="17" customWidth="1"/>
    <col min="8470" max="8485" width="12.140625" style="17" customWidth="1"/>
    <col min="8486" max="8700" width="11.42578125" style="17"/>
    <col min="8701" max="8704" width="24.140625" style="17" customWidth="1"/>
    <col min="8705" max="8705" width="22.140625" style="17" customWidth="1"/>
    <col min="8706" max="8706" width="24.85546875" style="17" customWidth="1"/>
    <col min="8707" max="8707" width="22.140625" style="17" customWidth="1"/>
    <col min="8708" max="8719" width="29.140625" style="17" customWidth="1"/>
    <col min="8720" max="8720" width="18.85546875" style="17" bestFit="1" customWidth="1"/>
    <col min="8721" max="8721" width="16.7109375" style="17" bestFit="1" customWidth="1"/>
    <col min="8722" max="8722" width="14.85546875" style="17" bestFit="1" customWidth="1"/>
    <col min="8723" max="8723" width="13.5703125" style="17" bestFit="1" customWidth="1"/>
    <col min="8724" max="8724" width="6" style="17" bestFit="1" customWidth="1"/>
    <col min="8725" max="8725" width="32.42578125" style="17" customWidth="1"/>
    <col min="8726" max="8741" width="12.140625" style="17" customWidth="1"/>
    <col min="8742" max="8956" width="11.42578125" style="17"/>
    <col min="8957" max="8960" width="24.140625" style="17" customWidth="1"/>
    <col min="8961" max="8961" width="22.140625" style="17" customWidth="1"/>
    <col min="8962" max="8962" width="24.85546875" style="17" customWidth="1"/>
    <col min="8963" max="8963" width="22.140625" style="17" customWidth="1"/>
    <col min="8964" max="8975" width="29.140625" style="17" customWidth="1"/>
    <col min="8976" max="8976" width="18.85546875" style="17" bestFit="1" customWidth="1"/>
    <col min="8977" max="8977" width="16.7109375" style="17" bestFit="1" customWidth="1"/>
    <col min="8978" max="8978" width="14.85546875" style="17" bestFit="1" customWidth="1"/>
    <col min="8979" max="8979" width="13.5703125" style="17" bestFit="1" customWidth="1"/>
    <col min="8980" max="8980" width="6" style="17" bestFit="1" customWidth="1"/>
    <col min="8981" max="8981" width="32.42578125" style="17" customWidth="1"/>
    <col min="8982" max="8997" width="12.140625" style="17" customWidth="1"/>
    <col min="8998" max="9212" width="11.42578125" style="17"/>
    <col min="9213" max="9216" width="24.140625" style="17" customWidth="1"/>
    <col min="9217" max="9217" width="22.140625" style="17" customWidth="1"/>
    <col min="9218" max="9218" width="24.85546875" style="17" customWidth="1"/>
    <col min="9219" max="9219" width="22.140625" style="17" customWidth="1"/>
    <col min="9220" max="9231" width="29.140625" style="17" customWidth="1"/>
    <col min="9232" max="9232" width="18.85546875" style="17" bestFit="1" customWidth="1"/>
    <col min="9233" max="9233" width="16.7109375" style="17" bestFit="1" customWidth="1"/>
    <col min="9234" max="9234" width="14.85546875" style="17" bestFit="1" customWidth="1"/>
    <col min="9235" max="9235" width="13.5703125" style="17" bestFit="1" customWidth="1"/>
    <col min="9236" max="9236" width="6" style="17" bestFit="1" customWidth="1"/>
    <col min="9237" max="9237" width="32.42578125" style="17" customWidth="1"/>
    <col min="9238" max="9253" width="12.140625" style="17" customWidth="1"/>
    <col min="9254" max="9468" width="11.42578125" style="17"/>
    <col min="9469" max="9472" width="24.140625" style="17" customWidth="1"/>
    <col min="9473" max="9473" width="22.140625" style="17" customWidth="1"/>
    <col min="9474" max="9474" width="24.85546875" style="17" customWidth="1"/>
    <col min="9475" max="9475" width="22.140625" style="17" customWidth="1"/>
    <col min="9476" max="9487" width="29.140625" style="17" customWidth="1"/>
    <col min="9488" max="9488" width="18.85546875" style="17" bestFit="1" customWidth="1"/>
    <col min="9489" max="9489" width="16.7109375" style="17" bestFit="1" customWidth="1"/>
    <col min="9490" max="9490" width="14.85546875" style="17" bestFit="1" customWidth="1"/>
    <col min="9491" max="9491" width="13.5703125" style="17" bestFit="1" customWidth="1"/>
    <col min="9492" max="9492" width="6" style="17" bestFit="1" customWidth="1"/>
    <col min="9493" max="9493" width="32.42578125" style="17" customWidth="1"/>
    <col min="9494" max="9509" width="12.140625" style="17" customWidth="1"/>
    <col min="9510" max="9724" width="11.42578125" style="17"/>
    <col min="9725" max="9728" width="24.140625" style="17" customWidth="1"/>
    <col min="9729" max="9729" width="22.140625" style="17" customWidth="1"/>
    <col min="9730" max="9730" width="24.85546875" style="17" customWidth="1"/>
    <col min="9731" max="9731" width="22.140625" style="17" customWidth="1"/>
    <col min="9732" max="9743" width="29.140625" style="17" customWidth="1"/>
    <col min="9744" max="9744" width="18.85546875" style="17" bestFit="1" customWidth="1"/>
    <col min="9745" max="9745" width="16.7109375" style="17" bestFit="1" customWidth="1"/>
    <col min="9746" max="9746" width="14.85546875" style="17" bestFit="1" customWidth="1"/>
    <col min="9747" max="9747" width="13.5703125" style="17" bestFit="1" customWidth="1"/>
    <col min="9748" max="9748" width="6" style="17" bestFit="1" customWidth="1"/>
    <col min="9749" max="9749" width="32.42578125" style="17" customWidth="1"/>
    <col min="9750" max="9765" width="12.140625" style="17" customWidth="1"/>
    <col min="9766" max="9980" width="11.42578125" style="17"/>
    <col min="9981" max="9984" width="24.140625" style="17" customWidth="1"/>
    <col min="9985" max="9985" width="22.140625" style="17" customWidth="1"/>
    <col min="9986" max="9986" width="24.85546875" style="17" customWidth="1"/>
    <col min="9987" max="9987" width="22.140625" style="17" customWidth="1"/>
    <col min="9988" max="9999" width="29.140625" style="17" customWidth="1"/>
    <col min="10000" max="10000" width="18.85546875" style="17" bestFit="1" customWidth="1"/>
    <col min="10001" max="10001" width="16.7109375" style="17" bestFit="1" customWidth="1"/>
    <col min="10002" max="10002" width="14.85546875" style="17" bestFit="1" customWidth="1"/>
    <col min="10003" max="10003" width="13.5703125" style="17" bestFit="1" customWidth="1"/>
    <col min="10004" max="10004" width="6" style="17" bestFit="1" customWidth="1"/>
    <col min="10005" max="10005" width="32.42578125" style="17" customWidth="1"/>
    <col min="10006" max="10021" width="12.140625" style="17" customWidth="1"/>
    <col min="10022" max="10236" width="11.42578125" style="17"/>
    <col min="10237" max="10240" width="24.140625" style="17" customWidth="1"/>
    <col min="10241" max="10241" width="22.140625" style="17" customWidth="1"/>
    <col min="10242" max="10242" width="24.85546875" style="17" customWidth="1"/>
    <col min="10243" max="10243" width="22.140625" style="17" customWidth="1"/>
    <col min="10244" max="10255" width="29.140625" style="17" customWidth="1"/>
    <col min="10256" max="10256" width="18.85546875" style="17" bestFit="1" customWidth="1"/>
    <col min="10257" max="10257" width="16.7109375" style="17" bestFit="1" customWidth="1"/>
    <col min="10258" max="10258" width="14.85546875" style="17" bestFit="1" customWidth="1"/>
    <col min="10259" max="10259" width="13.5703125" style="17" bestFit="1" customWidth="1"/>
    <col min="10260" max="10260" width="6" style="17" bestFit="1" customWidth="1"/>
    <col min="10261" max="10261" width="32.42578125" style="17" customWidth="1"/>
    <col min="10262" max="10277" width="12.140625" style="17" customWidth="1"/>
    <col min="10278" max="10492" width="11.42578125" style="17"/>
    <col min="10493" max="10496" width="24.140625" style="17" customWidth="1"/>
    <col min="10497" max="10497" width="22.140625" style="17" customWidth="1"/>
    <col min="10498" max="10498" width="24.85546875" style="17" customWidth="1"/>
    <col min="10499" max="10499" width="22.140625" style="17" customWidth="1"/>
    <col min="10500" max="10511" width="29.140625" style="17" customWidth="1"/>
    <col min="10512" max="10512" width="18.85546875" style="17" bestFit="1" customWidth="1"/>
    <col min="10513" max="10513" width="16.7109375" style="17" bestFit="1" customWidth="1"/>
    <col min="10514" max="10514" width="14.85546875" style="17" bestFit="1" customWidth="1"/>
    <col min="10515" max="10515" width="13.5703125" style="17" bestFit="1" customWidth="1"/>
    <col min="10516" max="10516" width="6" style="17" bestFit="1" customWidth="1"/>
    <col min="10517" max="10517" width="32.42578125" style="17" customWidth="1"/>
    <col min="10518" max="10533" width="12.140625" style="17" customWidth="1"/>
    <col min="10534" max="10748" width="11.42578125" style="17"/>
    <col min="10749" max="10752" width="24.140625" style="17" customWidth="1"/>
    <col min="10753" max="10753" width="22.140625" style="17" customWidth="1"/>
    <col min="10754" max="10754" width="24.85546875" style="17" customWidth="1"/>
    <col min="10755" max="10755" width="22.140625" style="17" customWidth="1"/>
    <col min="10756" max="10767" width="29.140625" style="17" customWidth="1"/>
    <col min="10768" max="10768" width="18.85546875" style="17" bestFit="1" customWidth="1"/>
    <col min="10769" max="10769" width="16.7109375" style="17" bestFit="1" customWidth="1"/>
    <col min="10770" max="10770" width="14.85546875" style="17" bestFit="1" customWidth="1"/>
    <col min="10771" max="10771" width="13.5703125" style="17" bestFit="1" customWidth="1"/>
    <col min="10772" max="10772" width="6" style="17" bestFit="1" customWidth="1"/>
    <col min="10773" max="10773" width="32.42578125" style="17" customWidth="1"/>
    <col min="10774" max="10789" width="12.140625" style="17" customWidth="1"/>
    <col min="10790" max="11004" width="11.42578125" style="17"/>
    <col min="11005" max="11008" width="24.140625" style="17" customWidth="1"/>
    <col min="11009" max="11009" width="22.140625" style="17" customWidth="1"/>
    <col min="11010" max="11010" width="24.85546875" style="17" customWidth="1"/>
    <col min="11011" max="11011" width="22.140625" style="17" customWidth="1"/>
    <col min="11012" max="11023" width="29.140625" style="17" customWidth="1"/>
    <col min="11024" max="11024" width="18.85546875" style="17" bestFit="1" customWidth="1"/>
    <col min="11025" max="11025" width="16.7109375" style="17" bestFit="1" customWidth="1"/>
    <col min="11026" max="11026" width="14.85546875" style="17" bestFit="1" customWidth="1"/>
    <col min="11027" max="11027" width="13.5703125" style="17" bestFit="1" customWidth="1"/>
    <col min="11028" max="11028" width="6" style="17" bestFit="1" customWidth="1"/>
    <col min="11029" max="11029" width="32.42578125" style="17" customWidth="1"/>
    <col min="11030" max="11045" width="12.140625" style="17" customWidth="1"/>
    <col min="11046" max="11260" width="11.42578125" style="17"/>
    <col min="11261" max="11264" width="24.140625" style="17" customWidth="1"/>
    <col min="11265" max="11265" width="22.140625" style="17" customWidth="1"/>
    <col min="11266" max="11266" width="24.85546875" style="17" customWidth="1"/>
    <col min="11267" max="11267" width="22.140625" style="17" customWidth="1"/>
    <col min="11268" max="11279" width="29.140625" style="17" customWidth="1"/>
    <col min="11280" max="11280" width="18.85546875" style="17" bestFit="1" customWidth="1"/>
    <col min="11281" max="11281" width="16.7109375" style="17" bestFit="1" customWidth="1"/>
    <col min="11282" max="11282" width="14.85546875" style="17" bestFit="1" customWidth="1"/>
    <col min="11283" max="11283" width="13.5703125" style="17" bestFit="1" customWidth="1"/>
    <col min="11284" max="11284" width="6" style="17" bestFit="1" customWidth="1"/>
    <col min="11285" max="11285" width="32.42578125" style="17" customWidth="1"/>
    <col min="11286" max="11301" width="12.140625" style="17" customWidth="1"/>
    <col min="11302" max="11516" width="11.42578125" style="17"/>
    <col min="11517" max="11520" width="24.140625" style="17" customWidth="1"/>
    <col min="11521" max="11521" width="22.140625" style="17" customWidth="1"/>
    <col min="11522" max="11522" width="24.85546875" style="17" customWidth="1"/>
    <col min="11523" max="11523" width="22.140625" style="17" customWidth="1"/>
    <col min="11524" max="11535" width="29.140625" style="17" customWidth="1"/>
    <col min="11536" max="11536" width="18.85546875" style="17" bestFit="1" customWidth="1"/>
    <col min="11537" max="11537" width="16.7109375" style="17" bestFit="1" customWidth="1"/>
    <col min="11538" max="11538" width="14.85546875" style="17" bestFit="1" customWidth="1"/>
    <col min="11539" max="11539" width="13.5703125" style="17" bestFit="1" customWidth="1"/>
    <col min="11540" max="11540" width="6" style="17" bestFit="1" customWidth="1"/>
    <col min="11541" max="11541" width="32.42578125" style="17" customWidth="1"/>
    <col min="11542" max="11557" width="12.140625" style="17" customWidth="1"/>
    <col min="11558" max="11772" width="11.42578125" style="17"/>
    <col min="11773" max="11776" width="24.140625" style="17" customWidth="1"/>
    <col min="11777" max="11777" width="22.140625" style="17" customWidth="1"/>
    <col min="11778" max="11778" width="24.85546875" style="17" customWidth="1"/>
    <col min="11779" max="11779" width="22.140625" style="17" customWidth="1"/>
    <col min="11780" max="11791" width="29.140625" style="17" customWidth="1"/>
    <col min="11792" max="11792" width="18.85546875" style="17" bestFit="1" customWidth="1"/>
    <col min="11793" max="11793" width="16.7109375" style="17" bestFit="1" customWidth="1"/>
    <col min="11794" max="11794" width="14.85546875" style="17" bestFit="1" customWidth="1"/>
    <col min="11795" max="11795" width="13.5703125" style="17" bestFit="1" customWidth="1"/>
    <col min="11796" max="11796" width="6" style="17" bestFit="1" customWidth="1"/>
    <col min="11797" max="11797" width="32.42578125" style="17" customWidth="1"/>
    <col min="11798" max="11813" width="12.140625" style="17" customWidth="1"/>
    <col min="11814" max="12028" width="11.42578125" style="17"/>
    <col min="12029" max="12032" width="24.140625" style="17" customWidth="1"/>
    <col min="12033" max="12033" width="22.140625" style="17" customWidth="1"/>
    <col min="12034" max="12034" width="24.85546875" style="17" customWidth="1"/>
    <col min="12035" max="12035" width="22.140625" style="17" customWidth="1"/>
    <col min="12036" max="12047" width="29.140625" style="17" customWidth="1"/>
    <col min="12048" max="12048" width="18.85546875" style="17" bestFit="1" customWidth="1"/>
    <col min="12049" max="12049" width="16.7109375" style="17" bestFit="1" customWidth="1"/>
    <col min="12050" max="12050" width="14.85546875" style="17" bestFit="1" customWidth="1"/>
    <col min="12051" max="12051" width="13.5703125" style="17" bestFit="1" customWidth="1"/>
    <col min="12052" max="12052" width="6" style="17" bestFit="1" customWidth="1"/>
    <col min="12053" max="12053" width="32.42578125" style="17" customWidth="1"/>
    <col min="12054" max="12069" width="12.140625" style="17" customWidth="1"/>
    <col min="12070" max="12284" width="11.42578125" style="17"/>
    <col min="12285" max="12288" width="24.140625" style="17" customWidth="1"/>
    <col min="12289" max="12289" width="22.140625" style="17" customWidth="1"/>
    <col min="12290" max="12290" width="24.85546875" style="17" customWidth="1"/>
    <col min="12291" max="12291" width="22.140625" style="17" customWidth="1"/>
    <col min="12292" max="12303" width="29.140625" style="17" customWidth="1"/>
    <col min="12304" max="12304" width="18.85546875" style="17" bestFit="1" customWidth="1"/>
    <col min="12305" max="12305" width="16.7109375" style="17" bestFit="1" customWidth="1"/>
    <col min="12306" max="12306" width="14.85546875" style="17" bestFit="1" customWidth="1"/>
    <col min="12307" max="12307" width="13.5703125" style="17" bestFit="1" customWidth="1"/>
    <col min="12308" max="12308" width="6" style="17" bestFit="1" customWidth="1"/>
    <col min="12309" max="12309" width="32.42578125" style="17" customWidth="1"/>
    <col min="12310" max="12325" width="12.140625" style="17" customWidth="1"/>
    <col min="12326" max="12540" width="11.42578125" style="17"/>
    <col min="12541" max="12544" width="24.140625" style="17" customWidth="1"/>
    <col min="12545" max="12545" width="22.140625" style="17" customWidth="1"/>
    <col min="12546" max="12546" width="24.85546875" style="17" customWidth="1"/>
    <col min="12547" max="12547" width="22.140625" style="17" customWidth="1"/>
    <col min="12548" max="12559" width="29.140625" style="17" customWidth="1"/>
    <col min="12560" max="12560" width="18.85546875" style="17" bestFit="1" customWidth="1"/>
    <col min="12561" max="12561" width="16.7109375" style="17" bestFit="1" customWidth="1"/>
    <col min="12562" max="12562" width="14.85546875" style="17" bestFit="1" customWidth="1"/>
    <col min="12563" max="12563" width="13.5703125" style="17" bestFit="1" customWidth="1"/>
    <col min="12564" max="12564" width="6" style="17" bestFit="1" customWidth="1"/>
    <col min="12565" max="12565" width="32.42578125" style="17" customWidth="1"/>
    <col min="12566" max="12581" width="12.140625" style="17" customWidth="1"/>
    <col min="12582" max="12796" width="11.42578125" style="17"/>
    <col min="12797" max="12800" width="24.140625" style="17" customWidth="1"/>
    <col min="12801" max="12801" width="22.140625" style="17" customWidth="1"/>
    <col min="12802" max="12802" width="24.85546875" style="17" customWidth="1"/>
    <col min="12803" max="12803" width="22.140625" style="17" customWidth="1"/>
    <col min="12804" max="12815" width="29.140625" style="17" customWidth="1"/>
    <col min="12816" max="12816" width="18.85546875" style="17" bestFit="1" customWidth="1"/>
    <col min="12817" max="12817" width="16.7109375" style="17" bestFit="1" customWidth="1"/>
    <col min="12818" max="12818" width="14.85546875" style="17" bestFit="1" customWidth="1"/>
    <col min="12819" max="12819" width="13.5703125" style="17" bestFit="1" customWidth="1"/>
    <col min="12820" max="12820" width="6" style="17" bestFit="1" customWidth="1"/>
    <col min="12821" max="12821" width="32.42578125" style="17" customWidth="1"/>
    <col min="12822" max="12837" width="12.140625" style="17" customWidth="1"/>
    <col min="12838" max="13052" width="11.42578125" style="17"/>
    <col min="13053" max="13056" width="24.140625" style="17" customWidth="1"/>
    <col min="13057" max="13057" width="22.140625" style="17" customWidth="1"/>
    <col min="13058" max="13058" width="24.85546875" style="17" customWidth="1"/>
    <col min="13059" max="13059" width="22.140625" style="17" customWidth="1"/>
    <col min="13060" max="13071" width="29.140625" style="17" customWidth="1"/>
    <col min="13072" max="13072" width="18.85546875" style="17" bestFit="1" customWidth="1"/>
    <col min="13073" max="13073" width="16.7109375" style="17" bestFit="1" customWidth="1"/>
    <col min="13074" max="13074" width="14.85546875" style="17" bestFit="1" customWidth="1"/>
    <col min="13075" max="13075" width="13.5703125" style="17" bestFit="1" customWidth="1"/>
    <col min="13076" max="13076" width="6" style="17" bestFit="1" customWidth="1"/>
    <col min="13077" max="13077" width="32.42578125" style="17" customWidth="1"/>
    <col min="13078" max="13093" width="12.140625" style="17" customWidth="1"/>
    <col min="13094" max="13308" width="11.42578125" style="17"/>
    <col min="13309" max="13312" width="24.140625" style="17" customWidth="1"/>
    <col min="13313" max="13313" width="22.140625" style="17" customWidth="1"/>
    <col min="13314" max="13314" width="24.85546875" style="17" customWidth="1"/>
    <col min="13315" max="13315" width="22.140625" style="17" customWidth="1"/>
    <col min="13316" max="13327" width="29.140625" style="17" customWidth="1"/>
    <col min="13328" max="13328" width="18.85546875" style="17" bestFit="1" customWidth="1"/>
    <col min="13329" max="13329" width="16.7109375" style="17" bestFit="1" customWidth="1"/>
    <col min="13330" max="13330" width="14.85546875" style="17" bestFit="1" customWidth="1"/>
    <col min="13331" max="13331" width="13.5703125" style="17" bestFit="1" customWidth="1"/>
    <col min="13332" max="13332" width="6" style="17" bestFit="1" customWidth="1"/>
    <col min="13333" max="13333" width="32.42578125" style="17" customWidth="1"/>
    <col min="13334" max="13349" width="12.140625" style="17" customWidth="1"/>
    <col min="13350" max="13564" width="11.42578125" style="17"/>
    <col min="13565" max="13568" width="24.140625" style="17" customWidth="1"/>
    <col min="13569" max="13569" width="22.140625" style="17" customWidth="1"/>
    <col min="13570" max="13570" width="24.85546875" style="17" customWidth="1"/>
    <col min="13571" max="13571" width="22.140625" style="17" customWidth="1"/>
    <col min="13572" max="13583" width="29.140625" style="17" customWidth="1"/>
    <col min="13584" max="13584" width="18.85546875" style="17" bestFit="1" customWidth="1"/>
    <col min="13585" max="13585" width="16.7109375" style="17" bestFit="1" customWidth="1"/>
    <col min="13586" max="13586" width="14.85546875" style="17" bestFit="1" customWidth="1"/>
    <col min="13587" max="13587" width="13.5703125" style="17" bestFit="1" customWidth="1"/>
    <col min="13588" max="13588" width="6" style="17" bestFit="1" customWidth="1"/>
    <col min="13589" max="13589" width="32.42578125" style="17" customWidth="1"/>
    <col min="13590" max="13605" width="12.140625" style="17" customWidth="1"/>
    <col min="13606" max="13820" width="11.42578125" style="17"/>
    <col min="13821" max="13824" width="24.140625" style="17" customWidth="1"/>
    <col min="13825" max="13825" width="22.140625" style="17" customWidth="1"/>
    <col min="13826" max="13826" width="24.85546875" style="17" customWidth="1"/>
    <col min="13827" max="13827" width="22.140625" style="17" customWidth="1"/>
    <col min="13828" max="13839" width="29.140625" style="17" customWidth="1"/>
    <col min="13840" max="13840" width="18.85546875" style="17" bestFit="1" customWidth="1"/>
    <col min="13841" max="13841" width="16.7109375" style="17" bestFit="1" customWidth="1"/>
    <col min="13842" max="13842" width="14.85546875" style="17" bestFit="1" customWidth="1"/>
    <col min="13843" max="13843" width="13.5703125" style="17" bestFit="1" customWidth="1"/>
    <col min="13844" max="13844" width="6" style="17" bestFit="1" customWidth="1"/>
    <col min="13845" max="13845" width="32.42578125" style="17" customWidth="1"/>
    <col min="13846" max="13861" width="12.140625" style="17" customWidth="1"/>
    <col min="13862" max="14076" width="11.42578125" style="17"/>
    <col min="14077" max="14080" width="24.140625" style="17" customWidth="1"/>
    <col min="14081" max="14081" width="22.140625" style="17" customWidth="1"/>
    <col min="14082" max="14082" width="24.85546875" style="17" customWidth="1"/>
    <col min="14083" max="14083" width="22.140625" style="17" customWidth="1"/>
    <col min="14084" max="14095" width="29.140625" style="17" customWidth="1"/>
    <col min="14096" max="14096" width="18.85546875" style="17" bestFit="1" customWidth="1"/>
    <col min="14097" max="14097" width="16.7109375" style="17" bestFit="1" customWidth="1"/>
    <col min="14098" max="14098" width="14.85546875" style="17" bestFit="1" customWidth="1"/>
    <col min="14099" max="14099" width="13.5703125" style="17" bestFit="1" customWidth="1"/>
    <col min="14100" max="14100" width="6" style="17" bestFit="1" customWidth="1"/>
    <col min="14101" max="14101" width="32.42578125" style="17" customWidth="1"/>
    <col min="14102" max="14117" width="12.140625" style="17" customWidth="1"/>
    <col min="14118" max="14332" width="11.42578125" style="17"/>
    <col min="14333" max="14336" width="24.140625" style="17" customWidth="1"/>
    <col min="14337" max="14337" width="22.140625" style="17" customWidth="1"/>
    <col min="14338" max="14338" width="24.85546875" style="17" customWidth="1"/>
    <col min="14339" max="14339" width="22.140625" style="17" customWidth="1"/>
    <col min="14340" max="14351" width="29.140625" style="17" customWidth="1"/>
    <col min="14352" max="14352" width="18.85546875" style="17" bestFit="1" customWidth="1"/>
    <col min="14353" max="14353" width="16.7109375" style="17" bestFit="1" customWidth="1"/>
    <col min="14354" max="14354" width="14.85546875" style="17" bestFit="1" customWidth="1"/>
    <col min="14355" max="14355" width="13.5703125" style="17" bestFit="1" customWidth="1"/>
    <col min="14356" max="14356" width="6" style="17" bestFit="1" customWidth="1"/>
    <col min="14357" max="14357" width="32.42578125" style="17" customWidth="1"/>
    <col min="14358" max="14373" width="12.140625" style="17" customWidth="1"/>
    <col min="14374" max="14588" width="11.42578125" style="17"/>
    <col min="14589" max="14592" width="24.140625" style="17" customWidth="1"/>
    <col min="14593" max="14593" width="22.140625" style="17" customWidth="1"/>
    <col min="14594" max="14594" width="24.85546875" style="17" customWidth="1"/>
    <col min="14595" max="14595" width="22.140625" style="17" customWidth="1"/>
    <col min="14596" max="14607" width="29.140625" style="17" customWidth="1"/>
    <col min="14608" max="14608" width="18.85546875" style="17" bestFit="1" customWidth="1"/>
    <col min="14609" max="14609" width="16.7109375" style="17" bestFit="1" customWidth="1"/>
    <col min="14610" max="14610" width="14.85546875" style="17" bestFit="1" customWidth="1"/>
    <col min="14611" max="14611" width="13.5703125" style="17" bestFit="1" customWidth="1"/>
    <col min="14612" max="14612" width="6" style="17" bestFit="1" customWidth="1"/>
    <col min="14613" max="14613" width="32.42578125" style="17" customWidth="1"/>
    <col min="14614" max="14629" width="12.140625" style="17" customWidth="1"/>
    <col min="14630" max="14844" width="11.42578125" style="17"/>
    <col min="14845" max="14848" width="24.140625" style="17" customWidth="1"/>
    <col min="14849" max="14849" width="22.140625" style="17" customWidth="1"/>
    <col min="14850" max="14850" width="24.85546875" style="17" customWidth="1"/>
    <col min="14851" max="14851" width="22.140625" style="17" customWidth="1"/>
    <col min="14852" max="14863" width="29.140625" style="17" customWidth="1"/>
    <col min="14864" max="14864" width="18.85546875" style="17" bestFit="1" customWidth="1"/>
    <col min="14865" max="14865" width="16.7109375" style="17" bestFit="1" customWidth="1"/>
    <col min="14866" max="14866" width="14.85546875" style="17" bestFit="1" customWidth="1"/>
    <col min="14867" max="14867" width="13.5703125" style="17" bestFit="1" customWidth="1"/>
    <col min="14868" max="14868" width="6" style="17" bestFit="1" customWidth="1"/>
    <col min="14869" max="14869" width="32.42578125" style="17" customWidth="1"/>
    <col min="14870" max="14885" width="12.140625" style="17" customWidth="1"/>
    <col min="14886" max="15100" width="11.42578125" style="17"/>
    <col min="15101" max="15104" width="24.140625" style="17" customWidth="1"/>
    <col min="15105" max="15105" width="22.140625" style="17" customWidth="1"/>
    <col min="15106" max="15106" width="24.85546875" style="17" customWidth="1"/>
    <col min="15107" max="15107" width="22.140625" style="17" customWidth="1"/>
    <col min="15108" max="15119" width="29.140625" style="17" customWidth="1"/>
    <col min="15120" max="15120" width="18.85546875" style="17" bestFit="1" customWidth="1"/>
    <col min="15121" max="15121" width="16.7109375" style="17" bestFit="1" customWidth="1"/>
    <col min="15122" max="15122" width="14.85546875" style="17" bestFit="1" customWidth="1"/>
    <col min="15123" max="15123" width="13.5703125" style="17" bestFit="1" customWidth="1"/>
    <col min="15124" max="15124" width="6" style="17" bestFit="1" customWidth="1"/>
    <col min="15125" max="15125" width="32.42578125" style="17" customWidth="1"/>
    <col min="15126" max="15141" width="12.140625" style="17" customWidth="1"/>
    <col min="15142" max="15356" width="11.42578125" style="17"/>
    <col min="15357" max="15360" width="24.140625" style="17" customWidth="1"/>
    <col min="15361" max="15361" width="22.140625" style="17" customWidth="1"/>
    <col min="15362" max="15362" width="24.85546875" style="17" customWidth="1"/>
    <col min="15363" max="15363" width="22.140625" style="17" customWidth="1"/>
    <col min="15364" max="15375" width="29.140625" style="17" customWidth="1"/>
    <col min="15376" max="15376" width="18.85546875" style="17" bestFit="1" customWidth="1"/>
    <col min="15377" max="15377" width="16.7109375" style="17" bestFit="1" customWidth="1"/>
    <col min="15378" max="15378" width="14.85546875" style="17" bestFit="1" customWidth="1"/>
    <col min="15379" max="15379" width="13.5703125" style="17" bestFit="1" customWidth="1"/>
    <col min="15380" max="15380" width="6" style="17" bestFit="1" customWidth="1"/>
    <col min="15381" max="15381" width="32.42578125" style="17" customWidth="1"/>
    <col min="15382" max="15397" width="12.140625" style="17" customWidth="1"/>
    <col min="15398" max="15612" width="11.42578125" style="17"/>
    <col min="15613" max="15616" width="24.140625" style="17" customWidth="1"/>
    <col min="15617" max="15617" width="22.140625" style="17" customWidth="1"/>
    <col min="15618" max="15618" width="24.85546875" style="17" customWidth="1"/>
    <col min="15619" max="15619" width="22.140625" style="17" customWidth="1"/>
    <col min="15620" max="15631" width="29.140625" style="17" customWidth="1"/>
    <col min="15632" max="15632" width="18.85546875" style="17" bestFit="1" customWidth="1"/>
    <col min="15633" max="15633" width="16.7109375" style="17" bestFit="1" customWidth="1"/>
    <col min="15634" max="15634" width="14.85546875" style="17" bestFit="1" customWidth="1"/>
    <col min="15635" max="15635" width="13.5703125" style="17" bestFit="1" customWidth="1"/>
    <col min="15636" max="15636" width="6" style="17" bestFit="1" customWidth="1"/>
    <col min="15637" max="15637" width="32.42578125" style="17" customWidth="1"/>
    <col min="15638" max="15653" width="12.140625" style="17" customWidth="1"/>
    <col min="15654" max="15868" width="11.42578125" style="17"/>
    <col min="15869" max="15872" width="24.140625" style="17" customWidth="1"/>
    <col min="15873" max="15873" width="22.140625" style="17" customWidth="1"/>
    <col min="15874" max="15874" width="24.85546875" style="17" customWidth="1"/>
    <col min="15875" max="15875" width="22.140625" style="17" customWidth="1"/>
    <col min="15876" max="15887" width="29.140625" style="17" customWidth="1"/>
    <col min="15888" max="15888" width="18.85546875" style="17" bestFit="1" customWidth="1"/>
    <col min="15889" max="15889" width="16.7109375" style="17" bestFit="1" customWidth="1"/>
    <col min="15890" max="15890" width="14.85546875" style="17" bestFit="1" customWidth="1"/>
    <col min="15891" max="15891" width="13.5703125" style="17" bestFit="1" customWidth="1"/>
    <col min="15892" max="15892" width="6" style="17" bestFit="1" customWidth="1"/>
    <col min="15893" max="15893" width="32.42578125" style="17" customWidth="1"/>
    <col min="15894" max="15909" width="12.140625" style="17" customWidth="1"/>
    <col min="15910" max="16124" width="11.42578125" style="17"/>
    <col min="16125" max="16128" width="24.140625" style="17" customWidth="1"/>
    <col min="16129" max="16129" width="22.140625" style="17" customWidth="1"/>
    <col min="16130" max="16130" width="24.85546875" style="17" customWidth="1"/>
    <col min="16131" max="16131" width="22.140625" style="17" customWidth="1"/>
    <col min="16132" max="16143" width="29.140625" style="17" customWidth="1"/>
    <col min="16144" max="16144" width="18.85546875" style="17" bestFit="1" customWidth="1"/>
    <col min="16145" max="16145" width="16.7109375" style="17" bestFit="1" customWidth="1"/>
    <col min="16146" max="16146" width="14.85546875" style="17" bestFit="1" customWidth="1"/>
    <col min="16147" max="16147" width="13.5703125" style="17" bestFit="1" customWidth="1"/>
    <col min="16148" max="16148" width="6" style="17" bestFit="1" customWidth="1"/>
    <col min="16149" max="16149" width="32.42578125" style="17" customWidth="1"/>
    <col min="16150" max="16165" width="12.140625" style="17" customWidth="1"/>
    <col min="16166" max="16384" width="11.42578125" style="17"/>
  </cols>
  <sheetData>
    <row r="1" spans="1:21" s="2" customFormat="1" ht="15.75">
      <c r="A1" s="704" t="s">
        <v>18307</v>
      </c>
      <c r="B1" s="704"/>
      <c r="C1" s="704"/>
      <c r="D1" s="704"/>
      <c r="E1" s="704"/>
      <c r="F1" s="704"/>
      <c r="G1" s="704"/>
      <c r="H1" s="704"/>
      <c r="R1" s="62"/>
      <c r="S1" s="62"/>
      <c r="T1" s="95"/>
      <c r="U1" s="96"/>
    </row>
    <row r="2" spans="1:21" s="2" customFormat="1" ht="16.5" thickBot="1">
      <c r="A2" s="643" t="s">
        <v>0</v>
      </c>
      <c r="B2" s="644"/>
      <c r="C2" s="87"/>
      <c r="D2" s="3"/>
      <c r="E2" s="3"/>
      <c r="R2" s="52"/>
      <c r="S2" s="52"/>
      <c r="T2" s="97"/>
      <c r="U2" s="97"/>
    </row>
    <row r="3" spans="1:21" s="2" customFormat="1" ht="15.75">
      <c r="A3" s="121" t="s">
        <v>6165</v>
      </c>
      <c r="B3" s="6"/>
      <c r="C3" s="6"/>
      <c r="D3" s="6"/>
      <c r="E3" s="7"/>
      <c r="F3" s="7"/>
      <c r="G3" s="7"/>
      <c r="L3" s="7"/>
      <c r="R3" s="52"/>
      <c r="S3" s="52"/>
      <c r="T3" s="97"/>
      <c r="U3" s="97"/>
    </row>
    <row r="4" spans="1:21" s="2" customFormat="1" ht="15" customHeight="1">
      <c r="A4" s="8" t="s">
        <v>112</v>
      </c>
      <c r="B4" s="625" t="s">
        <v>105</v>
      </c>
      <c r="C4" s="625"/>
      <c r="D4" s="625"/>
      <c r="E4" s="626"/>
      <c r="F4" s="645" t="s">
        <v>6</v>
      </c>
      <c r="G4" s="106" t="s">
        <v>113</v>
      </c>
      <c r="H4" s="102" t="s">
        <v>106</v>
      </c>
      <c r="I4" s="102"/>
      <c r="J4" s="27"/>
      <c r="K4" s="622" t="s">
        <v>16660</v>
      </c>
      <c r="L4" s="108"/>
      <c r="R4" s="52"/>
      <c r="S4" s="52"/>
      <c r="T4" s="97"/>
      <c r="U4" s="97"/>
    </row>
    <row r="5" spans="1:21" s="2" customFormat="1" ht="15" customHeight="1">
      <c r="A5" s="10" t="s">
        <v>110</v>
      </c>
      <c r="B5" s="618" t="s">
        <v>16661</v>
      </c>
      <c r="C5" s="618"/>
      <c r="D5" s="618"/>
      <c r="E5" s="619"/>
      <c r="F5" s="645"/>
      <c r="G5" s="100" t="s">
        <v>6160</v>
      </c>
      <c r="H5" s="101" t="s">
        <v>104</v>
      </c>
      <c r="I5" s="101"/>
      <c r="J5" s="103"/>
      <c r="K5" s="623"/>
      <c r="L5" s="108"/>
      <c r="R5" s="52"/>
      <c r="S5" s="52"/>
      <c r="T5" s="97"/>
      <c r="U5" s="97"/>
    </row>
    <row r="6" spans="1:21" s="2" customFormat="1" ht="15" customHeight="1">
      <c r="A6" s="10" t="s">
        <v>12</v>
      </c>
      <c r="B6" s="618" t="s">
        <v>13</v>
      </c>
      <c r="C6" s="618"/>
      <c r="D6" s="618"/>
      <c r="E6" s="619"/>
      <c r="F6" s="645"/>
      <c r="G6" s="100" t="s">
        <v>98</v>
      </c>
      <c r="H6" s="101" t="s">
        <v>18053</v>
      </c>
      <c r="I6" s="101"/>
      <c r="J6" s="103"/>
      <c r="K6" s="623"/>
      <c r="L6" s="108"/>
      <c r="R6" s="52"/>
      <c r="S6" s="52"/>
      <c r="T6" s="97"/>
      <c r="U6" s="97"/>
    </row>
    <row r="7" spans="1:21" s="2" customFormat="1" ht="15" customHeight="1">
      <c r="A7" s="10" t="s">
        <v>111</v>
      </c>
      <c r="B7" s="618" t="s">
        <v>18054</v>
      </c>
      <c r="C7" s="618"/>
      <c r="D7" s="618"/>
      <c r="E7" s="619"/>
      <c r="F7" s="645"/>
      <c r="G7" s="100" t="s">
        <v>36</v>
      </c>
      <c r="H7" s="101" t="s">
        <v>18055</v>
      </c>
      <c r="I7" s="101"/>
      <c r="J7" s="103"/>
      <c r="K7" s="623"/>
      <c r="L7" s="108"/>
      <c r="R7" s="52"/>
      <c r="S7" s="52"/>
      <c r="T7" s="97"/>
      <c r="U7" s="97"/>
    </row>
    <row r="8" spans="1:21" s="2" customFormat="1" ht="15" customHeight="1">
      <c r="A8" s="10" t="s">
        <v>16</v>
      </c>
      <c r="B8" s="618" t="s">
        <v>17</v>
      </c>
      <c r="C8" s="618"/>
      <c r="D8" s="618"/>
      <c r="E8" s="619"/>
      <c r="F8" s="645"/>
      <c r="G8" s="100" t="s">
        <v>6154</v>
      </c>
      <c r="H8" s="101" t="s">
        <v>18056</v>
      </c>
      <c r="I8" s="101"/>
      <c r="J8" s="103"/>
      <c r="K8" s="623"/>
      <c r="L8" s="108"/>
      <c r="R8" s="52"/>
      <c r="S8" s="52"/>
      <c r="T8" s="97"/>
      <c r="U8" s="97"/>
    </row>
    <row r="9" spans="1:21" s="2" customFormat="1" ht="15" customHeight="1">
      <c r="A9" s="10" t="s">
        <v>19</v>
      </c>
      <c r="B9" s="618" t="s">
        <v>20</v>
      </c>
      <c r="C9" s="618"/>
      <c r="D9" s="618"/>
      <c r="E9" s="619"/>
      <c r="F9" s="645"/>
      <c r="G9" s="100" t="s">
        <v>114</v>
      </c>
      <c r="H9" s="101" t="s">
        <v>18056</v>
      </c>
      <c r="I9" s="101"/>
      <c r="J9" s="103"/>
      <c r="K9" s="623"/>
      <c r="L9" s="108"/>
      <c r="R9" s="52"/>
      <c r="S9" s="52"/>
      <c r="T9" s="97"/>
      <c r="U9" s="97"/>
    </row>
    <row r="10" spans="1:21" s="2" customFormat="1" ht="15" customHeight="1">
      <c r="A10" s="10" t="s">
        <v>33</v>
      </c>
      <c r="B10" s="618" t="s">
        <v>18057</v>
      </c>
      <c r="C10" s="618"/>
      <c r="D10" s="618"/>
      <c r="E10" s="619"/>
      <c r="F10" s="645"/>
      <c r="G10" s="107" t="s">
        <v>6161</v>
      </c>
      <c r="H10" s="104" t="s">
        <v>18058</v>
      </c>
      <c r="I10" s="104"/>
      <c r="J10" s="105"/>
      <c r="K10" s="624"/>
      <c r="L10" s="108"/>
      <c r="R10" s="52"/>
      <c r="S10" s="52"/>
      <c r="T10" s="97"/>
      <c r="U10" s="97"/>
    </row>
    <row r="11" spans="1:21" s="2" customFormat="1" ht="12.75">
      <c r="A11" s="10" t="s">
        <v>34</v>
      </c>
      <c r="B11" s="618" t="s">
        <v>18059</v>
      </c>
      <c r="C11" s="618"/>
      <c r="D11" s="618"/>
      <c r="E11" s="619"/>
      <c r="F11" s="645"/>
      <c r="G11" s="7"/>
      <c r="R11" s="52"/>
      <c r="S11" s="52"/>
      <c r="T11" s="97"/>
      <c r="U11" s="97"/>
    </row>
    <row r="12" spans="1:21" s="2" customFormat="1" ht="12.75">
      <c r="A12" s="10" t="s">
        <v>24</v>
      </c>
      <c r="B12" s="618" t="s">
        <v>25</v>
      </c>
      <c r="C12" s="618"/>
      <c r="D12" s="618"/>
      <c r="E12" s="619"/>
      <c r="F12" s="645"/>
      <c r="G12" s="7"/>
      <c r="R12" s="52"/>
      <c r="S12" s="52"/>
      <c r="T12" s="97"/>
      <c r="U12" s="97"/>
    </row>
    <row r="13" spans="1:21" s="2" customFormat="1" ht="12.75">
      <c r="A13" s="11" t="s">
        <v>27</v>
      </c>
      <c r="B13" s="620" t="s">
        <v>28</v>
      </c>
      <c r="C13" s="620"/>
      <c r="D13" s="620"/>
      <c r="E13" s="621"/>
      <c r="F13" s="645"/>
      <c r="G13" s="7"/>
      <c r="R13" s="52"/>
      <c r="S13" s="52"/>
      <c r="T13" s="97"/>
      <c r="U13" s="97"/>
    </row>
    <row r="14" spans="1:21" s="2" customFormat="1" ht="12.75">
      <c r="A14" s="8" t="s">
        <v>100</v>
      </c>
      <c r="B14" s="625" t="s">
        <v>18060</v>
      </c>
      <c r="C14" s="625"/>
      <c r="D14" s="625"/>
      <c r="E14" s="626"/>
      <c r="F14" s="645" t="s">
        <v>16659</v>
      </c>
      <c r="G14" s="7"/>
      <c r="R14" s="52"/>
      <c r="S14" s="52"/>
      <c r="T14" s="97"/>
      <c r="U14" s="97"/>
    </row>
    <row r="15" spans="1:21" s="2" customFormat="1" ht="12.75">
      <c r="A15" s="10" t="s">
        <v>101</v>
      </c>
      <c r="B15" s="618" t="s">
        <v>18061</v>
      </c>
      <c r="C15" s="618"/>
      <c r="D15" s="618"/>
      <c r="E15" s="619"/>
      <c r="F15" s="645"/>
      <c r="G15" s="7"/>
      <c r="R15" s="52"/>
      <c r="S15" s="52"/>
      <c r="T15" s="97"/>
      <c r="U15" s="97"/>
    </row>
    <row r="16" spans="1:21" s="2" customFormat="1" ht="12.75">
      <c r="A16" s="10" t="s">
        <v>102</v>
      </c>
      <c r="B16" s="618" t="s">
        <v>18062</v>
      </c>
      <c r="C16" s="618"/>
      <c r="D16" s="618"/>
      <c r="E16" s="619"/>
      <c r="F16" s="645"/>
      <c r="G16" s="7"/>
      <c r="R16" s="52"/>
      <c r="S16" s="52"/>
      <c r="T16" s="97"/>
      <c r="U16" s="97"/>
    </row>
    <row r="17" spans="1:22" s="2" customFormat="1" ht="12.75">
      <c r="A17" s="10" t="s">
        <v>103</v>
      </c>
      <c r="B17" s="618" t="s">
        <v>18063</v>
      </c>
      <c r="C17" s="618"/>
      <c r="D17" s="618"/>
      <c r="E17" s="619"/>
      <c r="F17" s="645"/>
      <c r="G17" s="7"/>
      <c r="R17" s="52"/>
      <c r="S17" s="52"/>
      <c r="T17" s="97"/>
      <c r="U17" s="97"/>
    </row>
    <row r="18" spans="1:22" s="2" customFormat="1" ht="12.75">
      <c r="A18" s="10" t="s">
        <v>30</v>
      </c>
      <c r="B18" s="618" t="s">
        <v>18064</v>
      </c>
      <c r="C18" s="618"/>
      <c r="D18" s="618"/>
      <c r="E18" s="619"/>
      <c r="F18" s="645"/>
      <c r="G18" s="7"/>
      <c r="R18" s="52"/>
      <c r="S18" s="52"/>
      <c r="T18" s="97"/>
      <c r="U18" s="97"/>
    </row>
    <row r="19" spans="1:22" s="2" customFormat="1" ht="12.75">
      <c r="A19" s="11" t="s">
        <v>31</v>
      </c>
      <c r="B19" s="620" t="s">
        <v>115</v>
      </c>
      <c r="C19" s="620"/>
      <c r="D19" s="620"/>
      <c r="E19" s="621"/>
      <c r="F19" s="645"/>
      <c r="G19" s="7"/>
      <c r="R19" s="52"/>
      <c r="S19" s="52"/>
      <c r="T19" s="97"/>
      <c r="U19" s="97"/>
    </row>
    <row r="20" spans="1:22" s="2" customFormat="1" ht="12">
      <c r="A20" s="5"/>
      <c r="B20" s="6"/>
      <c r="C20" s="6"/>
      <c r="D20" s="6"/>
      <c r="E20" s="7"/>
      <c r="F20" s="7"/>
      <c r="G20" s="7"/>
      <c r="R20" s="52"/>
      <c r="S20" s="52"/>
      <c r="T20" s="97"/>
      <c r="U20" s="97"/>
    </row>
    <row r="21" spans="1:22" s="2" customFormat="1" ht="12.75">
      <c r="A21" s="57" t="s">
        <v>32</v>
      </c>
      <c r="B21" s="57" t="s">
        <v>32</v>
      </c>
      <c r="C21" s="58" t="s">
        <v>43</v>
      </c>
      <c r="D21" s="57" t="s">
        <v>32</v>
      </c>
      <c r="E21" s="58" t="s">
        <v>43</v>
      </c>
      <c r="F21" s="58" t="s">
        <v>43</v>
      </c>
      <c r="G21" s="58" t="s">
        <v>43</v>
      </c>
      <c r="H21" s="58" t="s">
        <v>43</v>
      </c>
      <c r="I21" s="58" t="s">
        <v>43</v>
      </c>
      <c r="J21" s="58" t="s">
        <v>43</v>
      </c>
      <c r="K21" s="57" t="s">
        <v>32</v>
      </c>
      <c r="L21" s="57" t="s">
        <v>32</v>
      </c>
      <c r="M21" s="57" t="s">
        <v>32</v>
      </c>
      <c r="N21" s="57" t="s">
        <v>32</v>
      </c>
      <c r="O21" s="57" t="s">
        <v>32</v>
      </c>
      <c r="P21" s="57" t="s">
        <v>32</v>
      </c>
      <c r="Q21" s="60"/>
      <c r="R21" s="60"/>
      <c r="S21" s="60"/>
      <c r="T21" s="7"/>
      <c r="U21" s="7"/>
      <c r="V21" s="7"/>
    </row>
    <row r="22" spans="1:22" s="2" customFormat="1" ht="12.75">
      <c r="A22" s="59" t="s">
        <v>112</v>
      </c>
      <c r="B22" s="59" t="s">
        <v>110</v>
      </c>
      <c r="C22" s="59" t="s">
        <v>12</v>
      </c>
      <c r="D22" s="59" t="s">
        <v>111</v>
      </c>
      <c r="E22" s="59" t="s">
        <v>16</v>
      </c>
      <c r="F22" s="59" t="s">
        <v>19</v>
      </c>
      <c r="G22" s="59" t="s">
        <v>33</v>
      </c>
      <c r="H22" s="59" t="s">
        <v>34</v>
      </c>
      <c r="I22" s="59" t="s">
        <v>24</v>
      </c>
      <c r="J22" s="59" t="s">
        <v>27</v>
      </c>
      <c r="K22" s="59" t="s">
        <v>100</v>
      </c>
      <c r="L22" s="59" t="s">
        <v>101</v>
      </c>
      <c r="M22" s="59" t="s">
        <v>102</v>
      </c>
      <c r="N22" s="59" t="s">
        <v>103</v>
      </c>
      <c r="O22" s="59" t="s">
        <v>30</v>
      </c>
      <c r="P22" s="59" t="s">
        <v>31</v>
      </c>
      <c r="Q22" s="60"/>
      <c r="R22" s="60"/>
      <c r="S22" s="60"/>
      <c r="T22" s="7"/>
      <c r="U22" s="7"/>
      <c r="V22" s="7"/>
    </row>
    <row r="23" spans="1:22" s="88" customFormat="1" ht="28.5">
      <c r="A23" s="392" t="s">
        <v>18065</v>
      </c>
      <c r="B23" s="392" t="str">
        <f>'3-MO04-EN01-échantillonnage'!L4</f>
        <v>05069450</v>
      </c>
      <c r="C23" s="393" t="str">
        <f>IF(B23=0, ,VLOOKUP(B23,Station,2,0))</f>
        <v>CHAVANON</v>
      </c>
      <c r="D23" s="393" t="str">
        <f>IF(B23=0, ,VLOOKUP(B23,Station,3,0))</f>
        <v>CHAVANON A SAVENNES</v>
      </c>
      <c r="E23" s="393" t="str">
        <f>IF(B23=0, ,VLOOKUP(B23,Station,4,0))</f>
        <v>SAVENNES</v>
      </c>
      <c r="F23" s="392">
        <f>IF(B23=0, ,VLOOKUP(B23,Station,5,0))</f>
        <v>63416</v>
      </c>
      <c r="G23" s="393">
        <f>IF(B23=0, ,VLOOKUP(B23,Station,7,0))</f>
        <v>660812</v>
      </c>
      <c r="H23" s="393">
        <f>IF(B23=0, ,VLOOKUP(B23,Station,6,0))</f>
        <v>6495457</v>
      </c>
      <c r="I23" s="393">
        <f>IF(B23=0, ,VLOOKUP(B23,Station,8,0))</f>
        <v>580</v>
      </c>
      <c r="J23" s="393" t="str">
        <f>IF(B23=0, ,VLOOKUP(B23,Station,9,0))</f>
        <v>RCO</v>
      </c>
      <c r="K23" s="392">
        <f>'3-MO04-EN01-échantillonnage'!V11</f>
        <v>658634</v>
      </c>
      <c r="L23" s="392">
        <f>'3-MO04-EN01-échantillonnage'!V12</f>
        <v>6498757</v>
      </c>
      <c r="M23" s="392">
        <f>'3-MO04-EN01-échantillonnage'!Y11</f>
        <v>658875</v>
      </c>
      <c r="N23" s="392">
        <f>'3-MO04-EN01-échantillonnage'!Y12</f>
        <v>6498697</v>
      </c>
      <c r="O23" s="393">
        <f>'3-MO04-EN01-échantillonnage'!S16</f>
        <v>18.2</v>
      </c>
      <c r="P23" s="393">
        <f>'3-MO04-EN01-échantillonnage'!S18</f>
        <v>250</v>
      </c>
      <c r="Q23" s="90"/>
      <c r="R23" s="90"/>
      <c r="S23" s="90"/>
      <c r="T23" s="91"/>
      <c r="U23" s="91"/>
      <c r="V23" s="91"/>
    </row>
    <row r="24" spans="1:22" s="88" customFormat="1" ht="14.25">
      <c r="A24" s="58" t="s">
        <v>43</v>
      </c>
      <c r="B24" s="58" t="s">
        <v>6162</v>
      </c>
      <c r="C24" s="58" t="s">
        <v>43</v>
      </c>
      <c r="D24" s="57" t="s">
        <v>32</v>
      </c>
      <c r="E24" s="57" t="s">
        <v>32</v>
      </c>
      <c r="F24" s="58" t="s">
        <v>43</v>
      </c>
      <c r="G24" s="58" t="s">
        <v>6162</v>
      </c>
      <c r="H24" s="109"/>
      <c r="I24" s="109"/>
      <c r="J24" s="109"/>
      <c r="M24" s="89"/>
      <c r="N24" s="90"/>
      <c r="O24" s="90"/>
      <c r="P24" s="90"/>
      <c r="Q24" s="90"/>
      <c r="R24" s="90"/>
      <c r="S24" s="90"/>
      <c r="T24" s="91"/>
      <c r="U24" s="91"/>
      <c r="V24" s="91"/>
    </row>
    <row r="25" spans="1:22" s="88" customFormat="1" ht="14.25">
      <c r="A25" s="59" t="s">
        <v>113</v>
      </c>
      <c r="B25" s="59" t="s">
        <v>97</v>
      </c>
      <c r="C25" s="59" t="s">
        <v>98</v>
      </c>
      <c r="D25" s="59" t="s">
        <v>36</v>
      </c>
      <c r="E25" s="59" t="s">
        <v>6154</v>
      </c>
      <c r="F25" s="59" t="s">
        <v>114</v>
      </c>
      <c r="G25" s="59" t="s">
        <v>99</v>
      </c>
      <c r="H25" s="109"/>
      <c r="I25" s="109"/>
      <c r="J25" s="109"/>
      <c r="M25" s="89"/>
      <c r="N25" s="90"/>
      <c r="O25" s="90"/>
      <c r="P25" s="90"/>
      <c r="Q25" s="90"/>
      <c r="R25" s="90"/>
      <c r="S25" s="90"/>
      <c r="T25" s="91"/>
      <c r="U25" s="91"/>
      <c r="V25" s="91"/>
    </row>
    <row r="26" spans="1:22" s="88" customFormat="1" ht="28.5">
      <c r="A26" s="394" t="s">
        <v>18023</v>
      </c>
      <c r="B26" s="394" t="str">
        <f>IF('4-SoutienBio'!B23=0, ,VLOOKUP('4-SoutienBio'!B23,Station,17,0))</f>
        <v>20210506945001INV</v>
      </c>
      <c r="C26" s="394"/>
      <c r="D26" s="395">
        <f>'3-MO04-EN01-échantillonnage'!S4</f>
        <v>44439</v>
      </c>
      <c r="E26" s="396" t="s">
        <v>18065</v>
      </c>
      <c r="F26" s="394" t="s">
        <v>18023</v>
      </c>
      <c r="G26" s="397" t="str">
        <f>IF(B23=0, ,VLOOKUP(B23,Station,13,0))</f>
        <v>P21</v>
      </c>
      <c r="H26" s="109"/>
      <c r="I26" s="109"/>
      <c r="J26" s="109"/>
      <c r="M26" s="89"/>
      <c r="N26" s="90"/>
      <c r="O26" s="90"/>
      <c r="P26" s="90"/>
      <c r="Q26" s="90"/>
      <c r="R26" s="90"/>
      <c r="S26" s="90"/>
      <c r="T26" s="91"/>
      <c r="U26" s="91"/>
      <c r="V26" s="91"/>
    </row>
    <row r="27" spans="1:22" s="88" customFormat="1" ht="14.25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M27" s="89"/>
      <c r="N27" s="90"/>
      <c r="O27" s="90"/>
      <c r="P27" s="90"/>
      <c r="Q27" s="90"/>
      <c r="R27" s="90"/>
      <c r="S27" s="90"/>
      <c r="T27" s="91"/>
      <c r="U27" s="91"/>
      <c r="V27" s="91"/>
    </row>
    <row r="28" spans="1:22" s="88" customFormat="1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M28" s="89"/>
      <c r="N28" s="90"/>
      <c r="O28" s="90"/>
      <c r="P28" s="90"/>
      <c r="Q28" s="90"/>
      <c r="R28" s="90"/>
      <c r="S28" s="90"/>
      <c r="T28" s="91"/>
      <c r="U28" s="91"/>
      <c r="V28" s="91"/>
    </row>
    <row r="29" spans="1:22" ht="16.5" thickBot="1">
      <c r="A29" s="98" t="s">
        <v>16658</v>
      </c>
      <c r="B29" s="99"/>
      <c r="C29" s="99"/>
      <c r="D29" s="17"/>
      <c r="E29" s="17"/>
      <c r="H29" s="16"/>
      <c r="I29" s="16"/>
      <c r="R29" s="61"/>
      <c r="S29" s="61"/>
      <c r="T29" s="61"/>
      <c r="U29" s="65"/>
    </row>
    <row r="30" spans="1:22" ht="13.5" customHeight="1">
      <c r="A30" s="66" t="s">
        <v>3</v>
      </c>
      <c r="B30" s="17"/>
      <c r="C30" s="17"/>
      <c r="D30" s="17"/>
      <c r="E30" s="17"/>
      <c r="H30" s="16"/>
      <c r="J30" s="1"/>
      <c r="K30" s="1"/>
      <c r="L30" s="1"/>
      <c r="M30" s="1"/>
      <c r="N30" s="1"/>
      <c r="O30" s="1"/>
      <c r="T30" s="64"/>
      <c r="U30" s="63"/>
    </row>
    <row r="31" spans="1:22" ht="13.5" customHeight="1" thickBot="1">
      <c r="A31" s="8" t="s">
        <v>9</v>
      </c>
      <c r="B31" s="383" t="s">
        <v>35</v>
      </c>
      <c r="C31" s="9"/>
      <c r="D31" s="9"/>
      <c r="E31" s="19"/>
      <c r="H31" s="16"/>
      <c r="I31" s="21"/>
      <c r="J31" s="22"/>
      <c r="K31" s="2"/>
      <c r="L31" s="2"/>
      <c r="M31" s="2"/>
      <c r="P31" s="1"/>
      <c r="T31" s="64"/>
      <c r="U31" s="63"/>
    </row>
    <row r="32" spans="1:22" ht="13.5" customHeight="1" thickBot="1">
      <c r="A32" s="10" t="s">
        <v>12</v>
      </c>
      <c r="B32" s="385" t="s">
        <v>13</v>
      </c>
      <c r="C32" s="6"/>
      <c r="D32" s="6"/>
      <c r="E32" s="20"/>
      <c r="F32" s="18"/>
      <c r="H32" s="98" t="s">
        <v>38</v>
      </c>
      <c r="I32" s="117"/>
      <c r="J32" s="117"/>
      <c r="K32" s="99"/>
      <c r="L32" s="118"/>
      <c r="T32" s="64"/>
      <c r="U32" s="63"/>
      <c r="V32" s="63"/>
    </row>
    <row r="33" spans="1:21">
      <c r="A33" s="10" t="s">
        <v>111</v>
      </c>
      <c r="B33" s="385" t="s">
        <v>107</v>
      </c>
      <c r="C33" s="6"/>
      <c r="D33" s="6"/>
      <c r="E33" s="20"/>
      <c r="G33" s="21"/>
      <c r="H33" s="22"/>
      <c r="I33" s="2"/>
      <c r="J33" s="2"/>
      <c r="T33" s="64"/>
      <c r="U33" s="63"/>
    </row>
    <row r="34" spans="1:21">
      <c r="A34" s="10" t="s">
        <v>36</v>
      </c>
      <c r="B34" s="385" t="s">
        <v>18066</v>
      </c>
      <c r="C34" s="6"/>
      <c r="D34" s="6"/>
      <c r="E34" s="20"/>
      <c r="F34" s="17"/>
      <c r="G34" s="17"/>
      <c r="H34" s="66" t="s">
        <v>3</v>
      </c>
      <c r="I34" s="18"/>
      <c r="J34" s="18"/>
      <c r="T34" s="17"/>
    </row>
    <row r="35" spans="1:21">
      <c r="A35" s="10" t="s">
        <v>37</v>
      </c>
      <c r="B35" s="5" t="s">
        <v>18067</v>
      </c>
      <c r="C35" s="6"/>
      <c r="D35" s="6"/>
      <c r="E35" s="20"/>
      <c r="F35" s="17"/>
      <c r="G35" s="17"/>
      <c r="H35" s="25" t="s">
        <v>40</v>
      </c>
      <c r="I35" s="26" t="s">
        <v>18068</v>
      </c>
      <c r="J35" s="27"/>
      <c r="T35" s="17"/>
    </row>
    <row r="36" spans="1:21">
      <c r="A36" s="11" t="s">
        <v>39</v>
      </c>
      <c r="B36" s="23" t="s">
        <v>18069</v>
      </c>
      <c r="C36" s="12"/>
      <c r="D36" s="12"/>
      <c r="E36" s="24"/>
      <c r="F36" s="15"/>
      <c r="G36" s="15"/>
      <c r="H36" s="25" t="s">
        <v>41</v>
      </c>
      <c r="I36" s="26" t="s">
        <v>42</v>
      </c>
      <c r="J36" s="26"/>
      <c r="K36" s="28"/>
      <c r="L36" s="29"/>
      <c r="T36" s="17"/>
    </row>
    <row r="37" spans="1:21">
      <c r="A37" s="119"/>
      <c r="B37" s="80"/>
      <c r="C37" s="119"/>
      <c r="D37" s="119"/>
      <c r="E37" s="382" t="s">
        <v>32</v>
      </c>
      <c r="F37" s="31"/>
      <c r="G37" s="15"/>
      <c r="H37" s="57" t="s">
        <v>32</v>
      </c>
      <c r="I37" s="58" t="s">
        <v>43</v>
      </c>
      <c r="P37" s="30"/>
      <c r="Q37" s="30"/>
      <c r="R37" s="17"/>
      <c r="S37" s="17"/>
      <c r="T37" s="17"/>
    </row>
    <row r="38" spans="1:21">
      <c r="A38" s="59" t="s">
        <v>110</v>
      </c>
      <c r="B38" s="59" t="s">
        <v>12</v>
      </c>
      <c r="C38" s="59" t="s">
        <v>111</v>
      </c>
      <c r="D38" s="59" t="s">
        <v>36</v>
      </c>
      <c r="E38" s="70" t="s">
        <v>37</v>
      </c>
      <c r="F38" s="13" t="s">
        <v>44</v>
      </c>
      <c r="G38" s="54" t="s">
        <v>45</v>
      </c>
      <c r="H38" s="73" t="s">
        <v>40</v>
      </c>
      <c r="I38" s="74" t="s">
        <v>41</v>
      </c>
      <c r="R38" s="30"/>
      <c r="S38" s="30"/>
      <c r="T38" s="17"/>
    </row>
    <row r="39" spans="1:21" ht="15" customHeight="1">
      <c r="A39" s="92" t="str">
        <f>B23</f>
        <v>05069450</v>
      </c>
      <c r="B39" s="92" t="str">
        <f>C23</f>
        <v>CHAVANON</v>
      </c>
      <c r="C39" s="92" t="str">
        <f>D23</f>
        <v>CHAVANON A SAVENNES</v>
      </c>
      <c r="D39" s="93">
        <f>D26</f>
        <v>44439</v>
      </c>
      <c r="E39" s="398">
        <f>'3-MO04-EN01-échantillonnage'!S17</f>
        <v>13.8</v>
      </c>
      <c r="F39" s="32" t="s">
        <v>18070</v>
      </c>
      <c r="G39" s="33" t="s">
        <v>1</v>
      </c>
      <c r="H39" s="399">
        <f>IF(('3-MO04-EN01-échantillonnage'!V27)="P",0,IF('3-MO04-EN01-échantillonnage'!V27="",0,IF('3-MO04-EN01-échantillonnage'!V27&lt;1,1,'3-MO04-EN01-échantillonnage'!V27)))</f>
        <v>1</v>
      </c>
      <c r="I39" s="399" t="str">
        <f>IF('3-MO04-EN01-échantillonnage'!V27=0,"",IF('3-MO04-EN01-échantillonnage'!V27="P","P",IF('3-MO04-EN01-échantillonnage'!V27&gt;=5,"D","M")))</f>
        <v>M</v>
      </c>
      <c r="R39" s="30"/>
      <c r="S39" s="30"/>
      <c r="T39" s="17"/>
    </row>
    <row r="40" spans="1:21">
      <c r="A40" s="13" t="s">
        <v>18071</v>
      </c>
      <c r="B40" s="35"/>
      <c r="C40" s="35"/>
      <c r="D40" s="36"/>
      <c r="E40" s="35"/>
      <c r="F40" s="32" t="s">
        <v>46</v>
      </c>
      <c r="G40" s="33" t="s">
        <v>4</v>
      </c>
      <c r="H40" s="399">
        <f>IF(('3-MO04-EN01-échantillonnage'!V33)="P",0,IF('3-MO04-EN01-échantillonnage'!V33="",0,IF('3-MO04-EN01-échantillonnage'!V33&lt;1,1,'3-MO04-EN01-échantillonnage'!V33)))</f>
        <v>0</v>
      </c>
      <c r="I40" s="399" t="str">
        <f>IF('3-MO04-EN01-échantillonnage'!V33=0,"",IF('3-MO04-EN01-échantillonnage'!V33="P","P",IF('3-MO04-EN01-échantillonnage'!V33&gt;=5,"D","M")))</f>
        <v/>
      </c>
      <c r="R40" s="30"/>
      <c r="S40" s="30"/>
      <c r="T40" s="17"/>
    </row>
    <row r="41" spans="1:21">
      <c r="A41" s="633"/>
      <c r="B41" s="634"/>
      <c r="C41" s="634"/>
      <c r="D41" s="634"/>
      <c r="E41" s="635"/>
      <c r="F41" s="32" t="s">
        <v>47</v>
      </c>
      <c r="G41" s="33" t="s">
        <v>7</v>
      </c>
      <c r="H41" s="399">
        <f>IF(('3-MO04-EN01-échantillonnage'!V39)="P",0,IF('3-MO04-EN01-échantillonnage'!V39="",0,IF('3-MO04-EN01-échantillonnage'!V39&lt;1,1,'3-MO04-EN01-échantillonnage'!V39)))</f>
        <v>1</v>
      </c>
      <c r="I41" s="399" t="str">
        <f>IF('3-MO04-EN01-échantillonnage'!V39=0,"",IF('3-MO04-EN01-échantillonnage'!V39="P","P",IF('3-MO04-EN01-échantillonnage'!V39&gt;=5,"D","M")))</f>
        <v>M</v>
      </c>
      <c r="R41" s="30"/>
      <c r="S41" s="30"/>
      <c r="T41" s="17"/>
    </row>
    <row r="42" spans="1:21">
      <c r="A42" s="35"/>
      <c r="B42" s="35"/>
      <c r="C42" s="35"/>
      <c r="D42" s="36"/>
      <c r="E42" s="35"/>
      <c r="F42" s="32" t="s">
        <v>48</v>
      </c>
      <c r="G42" s="33" t="s">
        <v>10</v>
      </c>
      <c r="H42" s="399">
        <f>IF(('3-MO04-EN01-échantillonnage'!V45)="P",0,IF('3-MO04-EN01-échantillonnage'!V45="",0,IF('3-MO04-EN01-échantillonnage'!V45&lt;1,1,'3-MO04-EN01-échantillonnage'!V45)))</f>
        <v>1</v>
      </c>
      <c r="I42" s="399" t="str">
        <f>IF('3-MO04-EN01-échantillonnage'!V45=0,"",IF('3-MO04-EN01-échantillonnage'!V45="P","P",IF('3-MO04-EN01-échantillonnage'!V45&gt;=5,"D","M")))</f>
        <v>M</v>
      </c>
      <c r="R42" s="30"/>
      <c r="S42" s="30"/>
      <c r="T42" s="17"/>
    </row>
    <row r="43" spans="1:21">
      <c r="A43" s="35"/>
      <c r="B43" s="35"/>
      <c r="C43" s="35"/>
      <c r="D43" s="36"/>
      <c r="E43" s="35"/>
      <c r="F43" s="32" t="s">
        <v>49</v>
      </c>
      <c r="G43" s="33" t="s">
        <v>14</v>
      </c>
      <c r="H43" s="399">
        <f>IF(('3-MO04-EN01-échantillonnage'!V51)="P",0,IF('3-MO04-EN01-échantillonnage'!V51="",0,IF('3-MO04-EN01-échantillonnage'!V51&lt;1,1,'3-MO04-EN01-échantillonnage'!V51)))</f>
        <v>45</v>
      </c>
      <c r="I43" s="399" t="str">
        <f>IF('3-MO04-EN01-échantillonnage'!V51=0,"",IF('3-MO04-EN01-échantillonnage'!V51="P","P",IF('3-MO04-EN01-échantillonnage'!V51&gt;=5,"D","M")))</f>
        <v>D</v>
      </c>
      <c r="O43" s="2"/>
      <c r="R43" s="30"/>
      <c r="S43" s="30"/>
      <c r="T43" s="17"/>
    </row>
    <row r="44" spans="1:21">
      <c r="A44" s="35"/>
      <c r="B44" s="35"/>
      <c r="C44" s="35"/>
      <c r="D44" s="36"/>
      <c r="E44" s="35"/>
      <c r="F44" s="32" t="s">
        <v>50</v>
      </c>
      <c r="G44" s="33" t="s">
        <v>15</v>
      </c>
      <c r="H44" s="399">
        <f>IF(('3-MO04-EN01-échantillonnage'!V57)="P",0,IF('3-MO04-EN01-échantillonnage'!V57="",0,IF('3-MO04-EN01-échantillonnage'!V57&lt;1,1,'3-MO04-EN01-échantillonnage'!V57)))</f>
        <v>20</v>
      </c>
      <c r="I44" s="399" t="str">
        <f>IF('3-MO04-EN01-échantillonnage'!V57=0,"",IF('3-MO04-EN01-échantillonnage'!V57="P","P",IF('3-MO04-EN01-échantillonnage'!V57&gt;=5,"D","M")))</f>
        <v>D</v>
      </c>
      <c r="M44" s="2"/>
      <c r="N44" s="2"/>
      <c r="O44" s="2"/>
      <c r="P44" s="2"/>
      <c r="Q44" s="2"/>
      <c r="R44" s="2"/>
      <c r="S44" s="2"/>
      <c r="T44" s="17"/>
    </row>
    <row r="45" spans="1:21">
      <c r="A45" s="35"/>
      <c r="B45" s="35"/>
      <c r="C45" s="35"/>
      <c r="D45" s="36"/>
      <c r="E45" s="35"/>
      <c r="F45" s="32" t="s">
        <v>51</v>
      </c>
      <c r="G45" s="33" t="s">
        <v>18</v>
      </c>
      <c r="H45" s="399">
        <f>IF(('3-MO04-EN01-échantillonnage'!V63)="P",0,IF('3-MO04-EN01-échantillonnage'!V63="",0,IF('3-MO04-EN01-échantillonnage'!V63&lt;1,1,'3-MO04-EN01-échantillonnage'!V63)))</f>
        <v>1</v>
      </c>
      <c r="I45" s="399" t="str">
        <f>IF('3-MO04-EN01-échantillonnage'!V63=0,"",IF('3-MO04-EN01-échantillonnage'!V63="P","P",IF('3-MO04-EN01-échantillonnage'!V63&gt;=5,"D","M")))</f>
        <v>M</v>
      </c>
      <c r="M45" s="2"/>
      <c r="N45" s="2"/>
      <c r="O45" s="2"/>
      <c r="P45" s="2"/>
      <c r="Q45" s="2"/>
      <c r="R45" s="2"/>
      <c r="S45" s="2"/>
      <c r="T45" s="17"/>
    </row>
    <row r="46" spans="1:21">
      <c r="A46" s="35"/>
      <c r="B46" s="35"/>
      <c r="C46" s="35"/>
      <c r="D46" s="36"/>
      <c r="E46" s="35"/>
      <c r="F46" s="32" t="s">
        <v>52</v>
      </c>
      <c r="G46" s="33" t="s">
        <v>21</v>
      </c>
      <c r="H46" s="399">
        <f>IF(('3-MO04-EN01-échantillonnage'!V69)="P",0,IF('3-MO04-EN01-échantillonnage'!V69="",0,IF('3-MO04-EN01-échantillonnage'!V69&lt;1,1,'3-MO04-EN01-échantillonnage'!V69)))</f>
        <v>0</v>
      </c>
      <c r="I46" s="399" t="str">
        <f>IF('3-MO04-EN01-échantillonnage'!V69=0,"",IF('3-MO04-EN01-échantillonnage'!V69="P","P",IF('3-MO04-EN01-échantillonnage'!V69&gt;=5,"D","M")))</f>
        <v/>
      </c>
      <c r="M46" s="2"/>
      <c r="N46" s="2"/>
      <c r="O46" s="2"/>
      <c r="P46" s="2"/>
      <c r="Q46" s="2"/>
      <c r="R46" s="2"/>
      <c r="S46" s="2"/>
      <c r="T46" s="17"/>
    </row>
    <row r="47" spans="1:21">
      <c r="A47" s="35"/>
      <c r="B47" s="35"/>
      <c r="C47" s="35"/>
      <c r="D47" s="36"/>
      <c r="E47" s="35"/>
      <c r="F47" s="32" t="s">
        <v>53</v>
      </c>
      <c r="G47" s="33" t="s">
        <v>22</v>
      </c>
      <c r="H47" s="399">
        <f>IF(('3-MO04-EN01-échantillonnage'!V75)="P",0,IF('3-MO04-EN01-échantillonnage'!V75="",0,IF('3-MO04-EN01-échantillonnage'!V75&lt;1,1,'3-MO04-EN01-échantillonnage'!V75)))</f>
        <v>0</v>
      </c>
      <c r="I47" s="399" t="str">
        <f>IF('3-MO04-EN01-échantillonnage'!V75=0,"",IF('3-MO04-EN01-échantillonnage'!V75="P","P",IF('3-MO04-EN01-échantillonnage'!V75&gt;=5,"D","M")))</f>
        <v/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1" s="2" customFormat="1">
      <c r="A48" s="35"/>
      <c r="B48" s="35"/>
      <c r="C48" s="35"/>
      <c r="D48" s="36"/>
      <c r="E48" s="35"/>
      <c r="F48" s="32" t="s">
        <v>54</v>
      </c>
      <c r="G48" s="33" t="s">
        <v>23</v>
      </c>
      <c r="H48" s="399">
        <f>IF(('3-MO04-EN01-échantillonnage'!V81)="P",0,IF('3-MO04-EN01-échantillonnage'!V81="",0,IF('3-MO04-EN01-échantillonnage'!V81&lt;1,1,'3-MO04-EN01-échantillonnage'!V81)))</f>
        <v>1</v>
      </c>
      <c r="I48" s="399" t="str">
        <f>IF('3-MO04-EN01-échantillonnage'!V81=0,"",IF('3-MO04-EN01-échantillonnage'!V81="P","P",IF('3-MO04-EN01-échantillonnage'!V81&gt;=5,"D","M")))</f>
        <v>M</v>
      </c>
      <c r="O48" s="15"/>
    </row>
    <row r="49" spans="1:20" s="2" customFormat="1">
      <c r="A49" s="35"/>
      <c r="B49" s="35"/>
      <c r="C49" s="35"/>
      <c r="D49" s="36"/>
      <c r="E49" s="35"/>
      <c r="F49" s="32" t="s">
        <v>55</v>
      </c>
      <c r="G49" s="33" t="s">
        <v>26</v>
      </c>
      <c r="H49" s="399">
        <f>IF(('3-MO04-EN01-échantillonnage'!V87)="P",0,IF('3-MO04-EN01-échantillonnage'!V87="",0,IF('3-MO04-EN01-échantillonnage'!V87&lt;1,1,'3-MO04-EN01-échantillonnage'!V87)))</f>
        <v>0</v>
      </c>
      <c r="I49" s="399" t="str">
        <f>IF('3-MO04-EN01-échantillonnage'!V87=0,"",IF('3-MO04-EN01-échantillonnage'!V87="P","P",IF('3-MO04-EN01-échantillonnage'!V87&gt;=5,"D","M")))</f>
        <v/>
      </c>
      <c r="M49" s="15"/>
      <c r="N49" s="15"/>
      <c r="O49" s="15"/>
      <c r="P49" s="15"/>
      <c r="Q49" s="15"/>
      <c r="R49" s="30"/>
      <c r="S49" s="30"/>
    </row>
    <row r="50" spans="1:20" s="2" customFormat="1">
      <c r="A50" s="35"/>
      <c r="B50" s="35"/>
      <c r="C50" s="35"/>
      <c r="D50" s="36"/>
      <c r="E50" s="35"/>
      <c r="F50" s="83" t="s">
        <v>56</v>
      </c>
      <c r="G50" s="84" t="s">
        <v>29</v>
      </c>
      <c r="H50" s="399">
        <f>IF(('3-MO04-EN01-échantillonnage'!V93)="P",0,IF('3-MO04-EN01-échantillonnage'!V93="",0,IF('3-MO04-EN01-échantillonnage'!V93&lt;1,1,'3-MO04-EN01-échantillonnage'!V93)))</f>
        <v>30</v>
      </c>
      <c r="I50" s="399" t="str">
        <f>IF('3-MO04-EN01-échantillonnage'!V93=0,"",IF('3-MO04-EN01-échantillonnage'!V93="P","P",IF('3-MO04-EN01-échantillonnage'!V93&gt;=5,"D","M")))</f>
        <v>D</v>
      </c>
      <c r="M50" s="15"/>
      <c r="N50" s="15"/>
      <c r="O50" s="15"/>
      <c r="P50" s="15"/>
      <c r="Q50" s="15"/>
      <c r="R50" s="30"/>
      <c r="S50" s="30"/>
    </row>
    <row r="51" spans="1:20" s="2" customFormat="1" ht="16.5" thickBot="1">
      <c r="A51" s="1"/>
      <c r="B51" s="1"/>
      <c r="C51" s="1"/>
      <c r="D51" s="1"/>
      <c r="E51" s="1"/>
      <c r="F51" s="641" t="s">
        <v>57</v>
      </c>
      <c r="G51" s="642"/>
      <c r="H51" s="85">
        <f>SUM(H39:H50)/100</f>
        <v>1</v>
      </c>
      <c r="N51" s="15"/>
      <c r="O51" s="15"/>
      <c r="P51" s="15"/>
      <c r="Q51" s="15"/>
      <c r="R51" s="30"/>
      <c r="S51" s="30"/>
    </row>
    <row r="52" spans="1:20" s="2" customFormat="1" ht="16.5" thickBot="1">
      <c r="A52" s="636" t="s">
        <v>58</v>
      </c>
      <c r="B52" s="637"/>
      <c r="C52" s="637"/>
      <c r="D52" s="637"/>
      <c r="E52" s="638"/>
      <c r="F52" s="14"/>
      <c r="G52" s="3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0"/>
    </row>
    <row r="53" spans="1:20">
      <c r="G53" s="38"/>
      <c r="T53" s="30"/>
    </row>
    <row r="54" spans="1:20">
      <c r="A54" s="66" t="s">
        <v>3</v>
      </c>
      <c r="B54" s="18"/>
      <c r="C54" s="18"/>
      <c r="D54" s="18"/>
      <c r="E54" s="39"/>
      <c r="F54" s="40"/>
      <c r="G54" s="38"/>
      <c r="T54" s="30"/>
    </row>
    <row r="55" spans="1:20">
      <c r="A55" s="8" t="s">
        <v>44</v>
      </c>
      <c r="B55" s="383" t="s">
        <v>18072</v>
      </c>
      <c r="C55" s="9"/>
      <c r="D55" s="9"/>
      <c r="E55" s="9"/>
      <c r="F55" s="19"/>
      <c r="G55" s="4"/>
      <c r="J55" s="41"/>
      <c r="T55" s="30"/>
    </row>
    <row r="56" spans="1:20">
      <c r="A56" s="10" t="s">
        <v>59</v>
      </c>
      <c r="B56" s="385" t="s">
        <v>18072</v>
      </c>
      <c r="C56" s="6"/>
      <c r="D56" s="6"/>
      <c r="E56" s="6"/>
      <c r="F56" s="20"/>
      <c r="G56" s="4"/>
      <c r="H56" s="66" t="s">
        <v>3</v>
      </c>
      <c r="J56" s="41"/>
      <c r="T56" s="30"/>
    </row>
    <row r="57" spans="1:20">
      <c r="A57" s="10" t="s">
        <v>116</v>
      </c>
      <c r="B57" s="385" t="s">
        <v>18073</v>
      </c>
      <c r="C57" s="6"/>
      <c r="D57" s="6"/>
      <c r="E57" s="6"/>
      <c r="F57" s="20"/>
      <c r="G57" s="4"/>
      <c r="H57" s="42" t="s">
        <v>60</v>
      </c>
      <c r="I57" s="42" t="s">
        <v>45</v>
      </c>
      <c r="J57" s="42" t="s">
        <v>61</v>
      </c>
      <c r="T57" s="30"/>
    </row>
    <row r="58" spans="1:20">
      <c r="A58" s="10" t="s">
        <v>62</v>
      </c>
      <c r="B58" s="385" t="s">
        <v>63</v>
      </c>
      <c r="C58" s="6"/>
      <c r="D58" s="6"/>
      <c r="E58" s="6"/>
      <c r="F58" s="20"/>
      <c r="G58" s="4"/>
      <c r="H58" s="43" t="s">
        <v>64</v>
      </c>
      <c r="I58" s="43" t="s">
        <v>11</v>
      </c>
      <c r="J58" s="43" t="s">
        <v>65</v>
      </c>
      <c r="T58" s="30"/>
    </row>
    <row r="59" spans="1:20">
      <c r="A59" s="10" t="s">
        <v>66</v>
      </c>
      <c r="B59" s="385" t="s">
        <v>67</v>
      </c>
      <c r="C59" s="6"/>
      <c r="D59" s="6"/>
      <c r="E59" s="6"/>
      <c r="F59" s="20"/>
      <c r="G59" s="4"/>
      <c r="H59" s="44" t="s">
        <v>68</v>
      </c>
      <c r="I59" s="44" t="s">
        <v>2</v>
      </c>
      <c r="J59" s="44" t="s">
        <v>69</v>
      </c>
      <c r="T59" s="30"/>
    </row>
    <row r="60" spans="1:20">
      <c r="A60" s="10" t="s">
        <v>70</v>
      </c>
      <c r="B60" s="385" t="s">
        <v>71</v>
      </c>
      <c r="C60" s="6"/>
      <c r="D60" s="6"/>
      <c r="E60" s="6"/>
      <c r="F60" s="20"/>
      <c r="G60" s="4"/>
      <c r="H60" s="44" t="s">
        <v>72</v>
      </c>
      <c r="I60" s="44" t="s">
        <v>5</v>
      </c>
      <c r="J60" s="44" t="s">
        <v>73</v>
      </c>
      <c r="T60" s="30"/>
    </row>
    <row r="61" spans="1:20">
      <c r="A61" s="10" t="s">
        <v>74</v>
      </c>
      <c r="B61" s="385" t="s">
        <v>75</v>
      </c>
      <c r="C61" s="6"/>
      <c r="D61" s="6"/>
      <c r="E61" s="6"/>
      <c r="F61" s="20"/>
      <c r="G61" s="45"/>
      <c r="H61" s="46" t="s">
        <v>76</v>
      </c>
      <c r="I61" s="46" t="s">
        <v>8</v>
      </c>
      <c r="J61" s="46" t="s">
        <v>77</v>
      </c>
      <c r="O61" s="16"/>
      <c r="P61" s="16"/>
      <c r="Q61" s="16"/>
      <c r="R61" s="16"/>
      <c r="S61" s="16"/>
      <c r="T61" s="16"/>
    </row>
    <row r="62" spans="1:20">
      <c r="A62" s="11" t="s">
        <v>78</v>
      </c>
      <c r="B62" s="387" t="s">
        <v>79</v>
      </c>
      <c r="C62" s="47"/>
      <c r="D62" s="47"/>
      <c r="E62" s="12"/>
      <c r="F62" s="24"/>
      <c r="G62" s="45"/>
      <c r="H62" s="16"/>
      <c r="T62" s="30"/>
    </row>
    <row r="63" spans="1:20">
      <c r="E63" s="48"/>
      <c r="F63" s="15"/>
      <c r="H63" s="16"/>
      <c r="T63" s="30"/>
    </row>
    <row r="64" spans="1:20">
      <c r="A64" s="120"/>
      <c r="B64" s="120"/>
      <c r="C64" s="120"/>
      <c r="D64" s="57" t="s">
        <v>32</v>
      </c>
      <c r="E64" s="57" t="s">
        <v>32</v>
      </c>
      <c r="F64" s="57" t="s">
        <v>32</v>
      </c>
      <c r="G64" s="58" t="s">
        <v>43</v>
      </c>
      <c r="H64" s="58" t="s">
        <v>43</v>
      </c>
      <c r="I64" s="58" t="s">
        <v>43</v>
      </c>
      <c r="J64" s="58" t="s">
        <v>43</v>
      </c>
      <c r="K64" s="58" t="s">
        <v>43</v>
      </c>
      <c r="L64" s="16"/>
      <c r="M64" s="16"/>
      <c r="N64" s="16"/>
      <c r="T64" s="30"/>
    </row>
    <row r="65" spans="1:20" s="16" customFormat="1">
      <c r="A65" s="69" t="s">
        <v>110</v>
      </c>
      <c r="B65" s="69" t="s">
        <v>36</v>
      </c>
      <c r="C65" s="69" t="s">
        <v>108</v>
      </c>
      <c r="D65" s="59" t="s">
        <v>44</v>
      </c>
      <c r="E65" s="59" t="s">
        <v>59</v>
      </c>
      <c r="F65" s="59" t="s">
        <v>116</v>
      </c>
      <c r="G65" s="59" t="s">
        <v>62</v>
      </c>
      <c r="H65" s="59" t="s">
        <v>80</v>
      </c>
      <c r="I65" s="59" t="s">
        <v>70</v>
      </c>
      <c r="J65" s="59" t="s">
        <v>74</v>
      </c>
      <c r="K65" s="59" t="s">
        <v>78</v>
      </c>
      <c r="L65" s="15"/>
      <c r="M65" s="15"/>
      <c r="N65" s="15"/>
      <c r="O65" s="15"/>
      <c r="P65" s="15"/>
      <c r="Q65" s="15"/>
      <c r="R65" s="15"/>
      <c r="S65" s="15"/>
      <c r="T65" s="30"/>
    </row>
    <row r="66" spans="1:20">
      <c r="A66" s="72" t="str">
        <f>B23</f>
        <v>05069450</v>
      </c>
      <c r="B66" s="94">
        <f>D26</f>
        <v>44439</v>
      </c>
      <c r="C66" s="71" t="s">
        <v>81</v>
      </c>
      <c r="D66" s="399" t="str">
        <f>IF(cemagref!C199=0,"",cemagref!C199)</f>
        <v>S1</v>
      </c>
      <c r="E66" s="399" t="str">
        <f>IF(cemagref!D199=0,"",cemagref!D199)</f>
        <v>N5</v>
      </c>
      <c r="F66" s="399" t="str">
        <f>IF(cemagref!E199=0,"",cemagref!E199)</f>
        <v>PhA</v>
      </c>
      <c r="G66" s="399"/>
      <c r="H66" s="399"/>
      <c r="I66" s="399"/>
      <c r="J66" s="399"/>
      <c r="K66" s="399"/>
      <c r="T66" s="30"/>
    </row>
    <row r="67" spans="1:20">
      <c r="A67" s="49" t="str">
        <f t="shared" ref="A67:B77" si="0">+A$66</f>
        <v>05069450</v>
      </c>
      <c r="B67" s="50">
        <f t="shared" si="0"/>
        <v>44439</v>
      </c>
      <c r="C67" s="71" t="s">
        <v>82</v>
      </c>
      <c r="D67" s="399" t="str">
        <f>IF(cemagref!C200=0,"",cemagref!C200)</f>
        <v>S3</v>
      </c>
      <c r="E67" s="399" t="str">
        <f>IF(cemagref!D200=0,"",cemagref!D200)</f>
        <v>N1</v>
      </c>
      <c r="F67" s="399" t="str">
        <f>IF(cemagref!E200=0,"",cemagref!E200)</f>
        <v>PhA</v>
      </c>
      <c r="G67" s="400"/>
      <c r="H67" s="399"/>
      <c r="I67" s="399"/>
      <c r="J67" s="400"/>
      <c r="K67" s="399"/>
      <c r="T67" s="30"/>
    </row>
    <row r="68" spans="1:20">
      <c r="A68" s="49" t="str">
        <f t="shared" si="0"/>
        <v>05069450</v>
      </c>
      <c r="B68" s="50">
        <f t="shared" si="0"/>
        <v>44439</v>
      </c>
      <c r="C68" s="71" t="s">
        <v>83</v>
      </c>
      <c r="D68" s="399" t="str">
        <f>IF(cemagref!C201=0,"",cemagref!C201)</f>
        <v>S28</v>
      </c>
      <c r="E68" s="399" t="str">
        <f>IF(cemagref!D201=0,"",cemagref!D201)</f>
        <v>N1</v>
      </c>
      <c r="F68" s="399" t="str">
        <f>IF(cemagref!E201=0,"",cemagref!E201)</f>
        <v>PhA</v>
      </c>
      <c r="G68" s="400"/>
      <c r="H68" s="399"/>
      <c r="I68" s="399"/>
      <c r="J68" s="400"/>
      <c r="K68" s="399"/>
      <c r="T68" s="30"/>
    </row>
    <row r="69" spans="1:20">
      <c r="A69" s="49" t="str">
        <f t="shared" si="0"/>
        <v>05069450</v>
      </c>
      <c r="B69" s="50">
        <f t="shared" si="0"/>
        <v>44439</v>
      </c>
      <c r="C69" s="71" t="s">
        <v>84</v>
      </c>
      <c r="D69" s="399" t="str">
        <f>IF(cemagref!C202=0,"",cemagref!C202)</f>
        <v>S9</v>
      </c>
      <c r="E69" s="399" t="str">
        <f>IF(cemagref!D202=0,"",cemagref!D202)</f>
        <v>N3</v>
      </c>
      <c r="F69" s="399" t="str">
        <f>IF(cemagref!E202=0,"",cemagref!E202)</f>
        <v>PhA</v>
      </c>
      <c r="G69" s="400"/>
      <c r="H69" s="399"/>
      <c r="I69" s="399"/>
      <c r="J69" s="400"/>
      <c r="K69" s="399"/>
      <c r="T69" s="30"/>
    </row>
    <row r="70" spans="1:20">
      <c r="A70" s="49" t="str">
        <f t="shared" si="0"/>
        <v>05069450</v>
      </c>
      <c r="B70" s="50">
        <f t="shared" si="0"/>
        <v>44439</v>
      </c>
      <c r="C70" s="71" t="s">
        <v>85</v>
      </c>
      <c r="D70" s="399" t="str">
        <f>IF(cemagref!C203=0,"",cemagref!C203)</f>
        <v>S24</v>
      </c>
      <c r="E70" s="399" t="str">
        <f>IF(cemagref!D203=0,"",cemagref!D203)</f>
        <v>N5</v>
      </c>
      <c r="F70" s="399" t="str">
        <f>IF(cemagref!E203=0,"",cemagref!E203)</f>
        <v>PhB</v>
      </c>
      <c r="G70" s="400"/>
      <c r="H70" s="399"/>
      <c r="I70" s="399"/>
      <c r="J70" s="400"/>
      <c r="K70" s="399"/>
      <c r="T70" s="30"/>
    </row>
    <row r="71" spans="1:20">
      <c r="A71" s="49" t="str">
        <f t="shared" si="0"/>
        <v>05069450</v>
      </c>
      <c r="B71" s="50">
        <f t="shared" si="0"/>
        <v>44439</v>
      </c>
      <c r="C71" s="71" t="s">
        <v>86</v>
      </c>
      <c r="D71" s="399" t="str">
        <f>IF(cemagref!C204=0,"",cemagref!C204)</f>
        <v>S30</v>
      </c>
      <c r="E71" s="399" t="str">
        <f>IF(cemagref!D204=0,"",cemagref!D204)</f>
        <v>N5</v>
      </c>
      <c r="F71" s="399" t="str">
        <f>IF(cemagref!E204=0,"",cemagref!E204)</f>
        <v>PhB</v>
      </c>
      <c r="G71" s="400"/>
      <c r="H71" s="399"/>
      <c r="I71" s="399"/>
      <c r="J71" s="400"/>
      <c r="K71" s="399"/>
      <c r="T71" s="30"/>
    </row>
    <row r="72" spans="1:20">
      <c r="A72" s="49" t="str">
        <f t="shared" si="0"/>
        <v>05069450</v>
      </c>
      <c r="B72" s="50">
        <f t="shared" si="0"/>
        <v>44439</v>
      </c>
      <c r="C72" s="71" t="s">
        <v>87</v>
      </c>
      <c r="D72" s="399" t="str">
        <f>IF(cemagref!C205=0,"",cemagref!C205)</f>
        <v>S29</v>
      </c>
      <c r="E72" s="399" t="str">
        <f>IF(cemagref!D205=0,"",cemagref!D205)</f>
        <v>N5</v>
      </c>
      <c r="F72" s="399" t="str">
        <f>IF(cemagref!E205=0,"",cemagref!E205)</f>
        <v>PhB</v>
      </c>
      <c r="G72" s="400"/>
      <c r="H72" s="399"/>
      <c r="I72" s="399"/>
      <c r="J72" s="400"/>
      <c r="K72" s="399"/>
      <c r="T72" s="30"/>
    </row>
    <row r="73" spans="1:20">
      <c r="A73" s="49" t="str">
        <f t="shared" si="0"/>
        <v>05069450</v>
      </c>
      <c r="B73" s="50">
        <f t="shared" si="0"/>
        <v>44439</v>
      </c>
      <c r="C73" s="71" t="s">
        <v>88</v>
      </c>
      <c r="D73" s="399" t="str">
        <f>IF(cemagref!C206=0,"",cemagref!C206)</f>
        <v>S24</v>
      </c>
      <c r="E73" s="399" t="str">
        <f>IF(cemagref!D206=0,"",cemagref!D206)</f>
        <v>N3</v>
      </c>
      <c r="F73" s="399" t="str">
        <f>IF(cemagref!E206=0,"",cemagref!E206)</f>
        <v>PhB</v>
      </c>
      <c r="G73" s="400"/>
      <c r="H73" s="399"/>
      <c r="I73" s="399"/>
      <c r="J73" s="400"/>
      <c r="K73" s="399"/>
      <c r="T73" s="30"/>
    </row>
    <row r="74" spans="1:20">
      <c r="A74" s="49" t="str">
        <f t="shared" si="0"/>
        <v>05069450</v>
      </c>
      <c r="B74" s="50">
        <f t="shared" si="0"/>
        <v>44439</v>
      </c>
      <c r="C74" s="71" t="s">
        <v>89</v>
      </c>
      <c r="D74" s="399" t="str">
        <f>IF(cemagref!C207=0,"",cemagref!C207)</f>
        <v>S24</v>
      </c>
      <c r="E74" s="399" t="str">
        <f>IF(cemagref!D207=0,"",cemagref!D207)</f>
        <v>N1</v>
      </c>
      <c r="F74" s="399" t="str">
        <f>IF(cemagref!E207=0,"",cemagref!E207)</f>
        <v>PhC</v>
      </c>
      <c r="G74" s="400"/>
      <c r="H74" s="399"/>
      <c r="I74" s="399"/>
      <c r="J74" s="400"/>
      <c r="K74" s="399"/>
      <c r="T74" s="30"/>
    </row>
    <row r="75" spans="1:20">
      <c r="A75" s="49" t="str">
        <f t="shared" si="0"/>
        <v>05069450</v>
      </c>
      <c r="B75" s="50">
        <f t="shared" si="0"/>
        <v>44439</v>
      </c>
      <c r="C75" s="71" t="s">
        <v>90</v>
      </c>
      <c r="D75" s="399" t="str">
        <f>IF(cemagref!C208=0,"",cemagref!C208)</f>
        <v>S29</v>
      </c>
      <c r="E75" s="399" t="str">
        <f>IF(cemagref!D208=0,"",cemagref!D208)</f>
        <v>N3</v>
      </c>
      <c r="F75" s="399" t="str">
        <f>IF(cemagref!E208=0,"",cemagref!E208)</f>
        <v>PhC</v>
      </c>
      <c r="G75" s="400"/>
      <c r="H75" s="399"/>
      <c r="I75" s="399"/>
      <c r="J75" s="400"/>
      <c r="K75" s="399"/>
      <c r="T75" s="30"/>
    </row>
    <row r="76" spans="1:20">
      <c r="A76" s="49" t="str">
        <f t="shared" si="0"/>
        <v>05069450</v>
      </c>
      <c r="B76" s="50">
        <f t="shared" si="0"/>
        <v>44439</v>
      </c>
      <c r="C76" s="71" t="s">
        <v>91</v>
      </c>
      <c r="D76" s="399" t="str">
        <f>IF(cemagref!C209=0,"",cemagref!C209)</f>
        <v>S30</v>
      </c>
      <c r="E76" s="399" t="str">
        <f>IF(cemagref!D209=0,"",cemagref!D209)</f>
        <v>N3</v>
      </c>
      <c r="F76" s="399" t="str">
        <f>IF(cemagref!E209=0,"",cemagref!E209)</f>
        <v>PhC</v>
      </c>
      <c r="G76" s="400"/>
      <c r="H76" s="399"/>
      <c r="I76" s="399"/>
      <c r="J76" s="400"/>
      <c r="K76" s="399"/>
      <c r="T76" s="30"/>
    </row>
    <row r="77" spans="1:20">
      <c r="A77" s="49" t="str">
        <f t="shared" si="0"/>
        <v>05069450</v>
      </c>
      <c r="B77" s="50">
        <f t="shared" si="0"/>
        <v>44439</v>
      </c>
      <c r="C77" s="71" t="s">
        <v>92</v>
      </c>
      <c r="D77" s="399" t="str">
        <f>IF(cemagref!C210=0,"",cemagref!C210)</f>
        <v>S24</v>
      </c>
      <c r="E77" s="399" t="str">
        <f>IF(cemagref!D210=0,"",cemagref!D210)</f>
        <v>N6</v>
      </c>
      <c r="F77" s="399" t="str">
        <f>IF(cemagref!E210=0,"",cemagref!E210)</f>
        <v>PhC</v>
      </c>
      <c r="G77" s="400"/>
      <c r="H77" s="399"/>
      <c r="I77" s="399"/>
      <c r="J77" s="400"/>
      <c r="K77" s="399"/>
      <c r="T77" s="30"/>
    </row>
    <row r="78" spans="1:20" s="82" customForma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5"/>
      <c r="M78" s="15"/>
      <c r="N78" s="15"/>
      <c r="O78" s="15"/>
      <c r="P78" s="15"/>
      <c r="Q78" s="15"/>
      <c r="R78" s="15"/>
      <c r="S78" s="15"/>
      <c r="T78" s="81"/>
    </row>
  </sheetData>
  <sheetProtection algorithmName="SHA-512" hashValue="UMW5ZihiNoVn9IdjD8OpnClnZt2Qfxgo9L/HX2lkfGpd6xeOz0fPPG9WqtFIra0nHZeNQa0vvd2VtqZWGvkPCg==" saltValue="rXTcB4dtT9BEWE/+76IBsw==" spinCount="100000" sheet="1" objects="1" scenarios="1"/>
  <dataConsolidate/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06&amp;CRapport d'essai Invertébrés N° 20190615425001INV&amp;RN° de page 2/2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zoomScale="115" zoomScaleNormal="115" workbookViewId="0">
      <selection activeCell="B8" sqref="B8"/>
    </sheetView>
  </sheetViews>
  <sheetFormatPr baseColWidth="10" defaultColWidth="9.140625" defaultRowHeight="12.75"/>
  <cols>
    <col min="1" max="1" width="14.85546875" style="543" bestFit="1" customWidth="1"/>
    <col min="2" max="2" width="17.85546875" style="543" bestFit="1" customWidth="1"/>
    <col min="3" max="3" width="47.85546875" style="543" bestFit="1" customWidth="1"/>
    <col min="4" max="4" width="31.140625" style="543" bestFit="1" customWidth="1"/>
    <col min="5" max="5" width="12.140625" style="545" bestFit="1" customWidth="1"/>
    <col min="6" max="6" width="10" style="543" bestFit="1" customWidth="1"/>
    <col min="7" max="7" width="11.7109375" style="543" bestFit="1" customWidth="1"/>
    <col min="8" max="8" width="10" style="543" bestFit="1" customWidth="1"/>
    <col min="9" max="9" width="7.42578125" style="543" bestFit="1" customWidth="1"/>
    <col min="10" max="10" width="79.140625" style="543" bestFit="1" customWidth="1"/>
    <col min="11" max="11" width="12.42578125" style="543" bestFit="1" customWidth="1"/>
    <col min="12" max="12" width="4.7109375" style="543" bestFit="1" customWidth="1"/>
    <col min="13" max="13" width="16" style="543" customWidth="1"/>
    <col min="14" max="14" width="13.5703125" style="543" bestFit="1" customWidth="1"/>
    <col min="15" max="15" width="14.7109375" style="543" bestFit="1" customWidth="1"/>
    <col min="16" max="16" width="9.140625" style="543"/>
    <col min="17" max="17" width="18.140625" style="543" bestFit="1" customWidth="1"/>
    <col min="18" max="16384" width="9.140625" style="149"/>
  </cols>
  <sheetData>
    <row r="1" spans="1:17">
      <c r="A1" s="141" t="s">
        <v>9</v>
      </c>
      <c r="B1" s="141" t="s">
        <v>12</v>
      </c>
      <c r="C1" s="141" t="s">
        <v>6157</v>
      </c>
      <c r="D1" s="141" t="s">
        <v>16</v>
      </c>
      <c r="E1" s="141" t="s">
        <v>19</v>
      </c>
      <c r="F1" s="142" t="s">
        <v>17615</v>
      </c>
      <c r="G1" s="142" t="s">
        <v>17616</v>
      </c>
      <c r="H1" s="141" t="s">
        <v>24</v>
      </c>
      <c r="I1" s="143" t="s">
        <v>17617</v>
      </c>
      <c r="J1" s="144" t="s">
        <v>17618</v>
      </c>
      <c r="K1" s="143" t="s">
        <v>17619</v>
      </c>
      <c r="L1" s="145" t="s">
        <v>17620</v>
      </c>
      <c r="M1" s="146" t="s">
        <v>17621</v>
      </c>
      <c r="N1" s="147" t="s">
        <v>17622</v>
      </c>
      <c r="O1" s="148" t="s">
        <v>17623</v>
      </c>
      <c r="P1" s="150" t="s">
        <v>17624</v>
      </c>
      <c r="Q1" s="150" t="s">
        <v>17625</v>
      </c>
    </row>
    <row r="2" spans="1:17" ht="20.100000000000001" customHeight="1">
      <c r="A2" s="473" t="s">
        <v>18420</v>
      </c>
      <c r="B2" s="474" t="s">
        <v>18338</v>
      </c>
      <c r="C2" s="474" t="s">
        <v>18339</v>
      </c>
      <c r="D2" s="474" t="s">
        <v>18340</v>
      </c>
      <c r="E2" s="475">
        <v>43244</v>
      </c>
      <c r="F2" s="476">
        <v>6448930</v>
      </c>
      <c r="G2" s="476">
        <v>800937</v>
      </c>
      <c r="H2" s="477">
        <v>822</v>
      </c>
      <c r="I2" s="478" t="s">
        <v>17626</v>
      </c>
      <c r="J2" s="478" t="s">
        <v>18341</v>
      </c>
      <c r="K2" s="478"/>
      <c r="L2" s="477">
        <v>3</v>
      </c>
      <c r="M2" s="478" t="s">
        <v>83</v>
      </c>
      <c r="N2" s="478" t="s">
        <v>18342</v>
      </c>
      <c r="O2" s="479">
        <v>43</v>
      </c>
      <c r="P2" s="480" t="s">
        <v>17628</v>
      </c>
      <c r="Q2" s="378" t="str">
        <f t="shared" ref="Q2:Q18" si="0">CONCATENATE("2020",A2,P2,"INV")</f>
        <v>20200400320001INV</v>
      </c>
    </row>
    <row r="3" spans="1:17" ht="20.100000000000001" customHeight="1">
      <c r="A3" s="473" t="s">
        <v>18421</v>
      </c>
      <c r="B3" s="481" t="s">
        <v>18343</v>
      </c>
      <c r="C3" s="481" t="s">
        <v>18344</v>
      </c>
      <c r="D3" s="481" t="s">
        <v>18345</v>
      </c>
      <c r="E3" s="482">
        <v>42114</v>
      </c>
      <c r="F3" s="476">
        <v>6514384.9589999998</v>
      </c>
      <c r="G3" s="476">
        <v>764366</v>
      </c>
      <c r="H3" s="477">
        <v>963</v>
      </c>
      <c r="I3" s="478" t="s">
        <v>17629</v>
      </c>
      <c r="J3" s="478" t="s">
        <v>18346</v>
      </c>
      <c r="K3" s="478"/>
      <c r="L3" s="477">
        <v>3</v>
      </c>
      <c r="M3" s="478" t="s">
        <v>17630</v>
      </c>
      <c r="N3" s="478" t="s">
        <v>18347</v>
      </c>
      <c r="O3" s="479">
        <v>42</v>
      </c>
      <c r="P3" s="480" t="s">
        <v>17628</v>
      </c>
      <c r="Q3" s="378" t="str">
        <f t="shared" si="0"/>
        <v>20200401025001INV</v>
      </c>
    </row>
    <row r="4" spans="1:17" ht="20.100000000000001" customHeight="1">
      <c r="A4" s="473" t="s">
        <v>18422</v>
      </c>
      <c r="B4" s="481" t="s">
        <v>18348</v>
      </c>
      <c r="C4" s="481" t="s">
        <v>18349</v>
      </c>
      <c r="D4" s="481" t="s">
        <v>18350</v>
      </c>
      <c r="E4" s="482">
        <v>42030</v>
      </c>
      <c r="F4" s="476">
        <v>6523770</v>
      </c>
      <c r="G4" s="476">
        <v>779741</v>
      </c>
      <c r="H4" s="477">
        <v>368</v>
      </c>
      <c r="I4" s="478" t="s">
        <v>17629</v>
      </c>
      <c r="J4" s="478" t="s">
        <v>18351</v>
      </c>
      <c r="K4" s="478"/>
      <c r="L4" s="477">
        <v>17</v>
      </c>
      <c r="M4" s="478" t="s">
        <v>17632</v>
      </c>
      <c r="N4" s="478" t="s">
        <v>18352</v>
      </c>
      <c r="O4" s="479">
        <v>42</v>
      </c>
      <c r="P4" s="480" t="s">
        <v>17628</v>
      </c>
      <c r="Q4" s="378" t="str">
        <f t="shared" si="0"/>
        <v>20200401205001INV</v>
      </c>
    </row>
    <row r="5" spans="1:17" ht="20.100000000000001" customHeight="1">
      <c r="A5" s="473" t="s">
        <v>18423</v>
      </c>
      <c r="B5" s="483" t="s">
        <v>18353</v>
      </c>
      <c r="C5" s="483" t="s">
        <v>18354</v>
      </c>
      <c r="D5" s="483" t="s">
        <v>18355</v>
      </c>
      <c r="E5" s="484">
        <v>42220</v>
      </c>
      <c r="F5" s="485">
        <v>6558940</v>
      </c>
      <c r="G5" s="485">
        <v>772961</v>
      </c>
      <c r="H5" s="485">
        <v>300</v>
      </c>
      <c r="I5" s="483" t="s">
        <v>17629</v>
      </c>
      <c r="J5" s="483" t="s">
        <v>18356</v>
      </c>
      <c r="K5" s="478"/>
      <c r="L5" s="485">
        <v>17</v>
      </c>
      <c r="M5" s="483" t="s">
        <v>17632</v>
      </c>
      <c r="N5" s="483" t="s">
        <v>18357</v>
      </c>
      <c r="O5" s="479">
        <v>42</v>
      </c>
      <c r="P5" s="480" t="s">
        <v>17628</v>
      </c>
      <c r="Q5" s="378" t="str">
        <f t="shared" si="0"/>
        <v>20200401450001INV</v>
      </c>
    </row>
    <row r="6" spans="1:17" ht="20.100000000000001" customHeight="1">
      <c r="A6" s="473" t="s">
        <v>18424</v>
      </c>
      <c r="B6" s="483" t="s">
        <v>18358</v>
      </c>
      <c r="C6" s="483" t="s">
        <v>18359</v>
      </c>
      <c r="D6" s="483" t="s">
        <v>18360</v>
      </c>
      <c r="E6" s="484">
        <v>3050</v>
      </c>
      <c r="F6" s="485">
        <v>6547417</v>
      </c>
      <c r="G6" s="485">
        <v>757177</v>
      </c>
      <c r="H6" s="485">
        <v>537</v>
      </c>
      <c r="I6" s="483" t="s">
        <v>17629</v>
      </c>
      <c r="J6" s="483" t="s">
        <v>18361</v>
      </c>
      <c r="K6" s="478"/>
      <c r="L6" s="477">
        <v>3</v>
      </c>
      <c r="M6" s="478" t="s">
        <v>17630</v>
      </c>
      <c r="N6" s="478" t="s">
        <v>18233</v>
      </c>
      <c r="O6" s="479">
        <v>3</v>
      </c>
      <c r="P6" s="480" t="s">
        <v>17628</v>
      </c>
      <c r="Q6" s="378" t="str">
        <f t="shared" si="0"/>
        <v>20200402215001INV</v>
      </c>
    </row>
    <row r="7" spans="1:17" ht="20.100000000000001" customHeight="1">
      <c r="A7" s="473" t="s">
        <v>18425</v>
      </c>
      <c r="B7" s="483" t="s">
        <v>18362</v>
      </c>
      <c r="C7" s="483" t="s">
        <v>18363</v>
      </c>
      <c r="D7" s="483" t="s">
        <v>18364</v>
      </c>
      <c r="E7" s="484">
        <v>7047</v>
      </c>
      <c r="F7" s="485">
        <v>6397831</v>
      </c>
      <c r="G7" s="485">
        <v>772608</v>
      </c>
      <c r="H7" s="485">
        <v>1000</v>
      </c>
      <c r="I7" s="483" t="s">
        <v>17629</v>
      </c>
      <c r="J7" s="483" t="s">
        <v>18365</v>
      </c>
      <c r="K7" s="478"/>
      <c r="L7" s="485">
        <v>8</v>
      </c>
      <c r="M7" s="483" t="s">
        <v>18366</v>
      </c>
      <c r="N7" s="483" t="s">
        <v>18367</v>
      </c>
      <c r="O7" s="479">
        <v>7</v>
      </c>
      <c r="P7" s="480" t="s">
        <v>17628</v>
      </c>
      <c r="Q7" s="378" t="str">
        <f t="shared" si="0"/>
        <v>20200402642001INV</v>
      </c>
    </row>
    <row r="8" spans="1:17" ht="20.100000000000001" customHeight="1">
      <c r="A8" s="473" t="s">
        <v>18426</v>
      </c>
      <c r="B8" s="483" t="s">
        <v>18368</v>
      </c>
      <c r="C8" s="483" t="s">
        <v>18369</v>
      </c>
      <c r="D8" s="483" t="s">
        <v>18370</v>
      </c>
      <c r="E8" s="484">
        <v>43173</v>
      </c>
      <c r="F8" s="485">
        <v>6415780</v>
      </c>
      <c r="G8" s="485">
        <v>758385</v>
      </c>
      <c r="H8" s="485">
        <v>742</v>
      </c>
      <c r="I8" s="483" t="s">
        <v>17626</v>
      </c>
      <c r="J8" s="483" t="s">
        <v>18371</v>
      </c>
      <c r="K8" s="486"/>
      <c r="L8" s="485">
        <v>3</v>
      </c>
      <c r="M8" s="483" t="s">
        <v>17634</v>
      </c>
      <c r="N8" s="483" t="s">
        <v>18372</v>
      </c>
      <c r="O8" s="485">
        <v>43</v>
      </c>
      <c r="P8" s="480" t="s">
        <v>17628</v>
      </c>
      <c r="Q8" s="378" t="str">
        <f t="shared" si="0"/>
        <v>20200402720001INV</v>
      </c>
    </row>
    <row r="9" spans="1:17" ht="20.100000000000001" customHeight="1">
      <c r="A9" s="473" t="s">
        <v>18427</v>
      </c>
      <c r="B9" s="483" t="s">
        <v>18373</v>
      </c>
      <c r="C9" s="483" t="s">
        <v>18374</v>
      </c>
      <c r="D9" s="483" t="s">
        <v>18375</v>
      </c>
      <c r="E9" s="484">
        <v>43214</v>
      </c>
      <c r="F9" s="485">
        <v>6461760</v>
      </c>
      <c r="G9" s="485">
        <v>751375</v>
      </c>
      <c r="H9" s="485">
        <v>826</v>
      </c>
      <c r="I9" s="483" t="s">
        <v>17629</v>
      </c>
      <c r="J9" s="483" t="s">
        <v>18376</v>
      </c>
      <c r="K9" s="478"/>
      <c r="L9" s="485">
        <v>3</v>
      </c>
      <c r="M9" s="483" t="s">
        <v>17634</v>
      </c>
      <c r="N9" s="483" t="s">
        <v>18377</v>
      </c>
      <c r="O9" s="485">
        <v>43</v>
      </c>
      <c r="P9" s="480" t="s">
        <v>17628</v>
      </c>
      <c r="Q9" s="378" t="str">
        <f t="shared" si="0"/>
        <v>20200402781001INV</v>
      </c>
    </row>
    <row r="10" spans="1:17" ht="20.100000000000001" customHeight="1">
      <c r="A10" s="473" t="s">
        <v>18428</v>
      </c>
      <c r="B10" s="483" t="s">
        <v>18378</v>
      </c>
      <c r="C10" s="483" t="s">
        <v>18379</v>
      </c>
      <c r="D10" s="483" t="s">
        <v>18380</v>
      </c>
      <c r="E10" s="484">
        <v>63205</v>
      </c>
      <c r="F10" s="485">
        <v>6500046</v>
      </c>
      <c r="G10" s="485">
        <v>727249</v>
      </c>
      <c r="H10" s="485">
        <v>425</v>
      </c>
      <c r="I10" s="483" t="s">
        <v>17631</v>
      </c>
      <c r="J10" s="483" t="s">
        <v>18381</v>
      </c>
      <c r="K10" s="486"/>
      <c r="L10" s="485">
        <v>3</v>
      </c>
      <c r="M10" s="483" t="s">
        <v>83</v>
      </c>
      <c r="N10" s="483" t="s">
        <v>18382</v>
      </c>
      <c r="O10" s="485">
        <v>63</v>
      </c>
      <c r="P10" s="480" t="s">
        <v>17628</v>
      </c>
      <c r="Q10" s="378" t="str">
        <f t="shared" si="0"/>
        <v>20200402967501INV</v>
      </c>
    </row>
    <row r="11" spans="1:17" ht="20.100000000000001" customHeight="1">
      <c r="A11" s="473" t="s">
        <v>18429</v>
      </c>
      <c r="B11" s="483" t="s">
        <v>18234</v>
      </c>
      <c r="C11" s="483" t="s">
        <v>18383</v>
      </c>
      <c r="D11" s="483" t="s">
        <v>18384</v>
      </c>
      <c r="E11" s="484">
        <v>63326</v>
      </c>
      <c r="F11" s="485">
        <v>6512820</v>
      </c>
      <c r="G11" s="485">
        <v>689862</v>
      </c>
      <c r="H11" s="485">
        <v>785</v>
      </c>
      <c r="I11" s="483" t="s">
        <v>17631</v>
      </c>
      <c r="J11" s="483" t="s">
        <v>18385</v>
      </c>
      <c r="K11" s="486"/>
      <c r="L11" s="485">
        <v>3</v>
      </c>
      <c r="M11" s="483" t="s">
        <v>17630</v>
      </c>
      <c r="N11" s="483" t="s">
        <v>18386</v>
      </c>
      <c r="O11" s="485">
        <v>63</v>
      </c>
      <c r="P11" s="480" t="s">
        <v>17628</v>
      </c>
      <c r="Q11" s="378" t="str">
        <f t="shared" si="0"/>
        <v>20200404163001INV</v>
      </c>
    </row>
    <row r="12" spans="1:17" ht="20.100000000000001" customHeight="1">
      <c r="A12" s="473" t="s">
        <v>18727</v>
      </c>
      <c r="B12" s="483" t="s">
        <v>18387</v>
      </c>
      <c r="C12" s="483" t="s">
        <v>18388</v>
      </c>
      <c r="D12" s="483" t="s">
        <v>18389</v>
      </c>
      <c r="E12" s="484">
        <v>63115</v>
      </c>
      <c r="F12" s="485">
        <v>6525150</v>
      </c>
      <c r="G12" s="485">
        <v>670388</v>
      </c>
      <c r="H12" s="485">
        <v>623</v>
      </c>
      <c r="I12" s="483" t="s">
        <v>17626</v>
      </c>
      <c r="J12" s="483" t="s">
        <v>18390</v>
      </c>
      <c r="K12" s="486"/>
      <c r="L12" s="485">
        <v>21</v>
      </c>
      <c r="M12" s="483" t="s">
        <v>17635</v>
      </c>
      <c r="N12" s="483" t="s">
        <v>18391</v>
      </c>
      <c r="O12" s="485">
        <v>63</v>
      </c>
      <c r="P12" s="480" t="s">
        <v>17628</v>
      </c>
      <c r="Q12" s="378" t="str">
        <f t="shared" si="0"/>
        <v>20200404175001INV</v>
      </c>
    </row>
    <row r="13" spans="1:17" ht="20.100000000000001" customHeight="1">
      <c r="A13" s="473" t="s">
        <v>18430</v>
      </c>
      <c r="B13" s="483" t="s">
        <v>18368</v>
      </c>
      <c r="C13" s="483" t="s">
        <v>18392</v>
      </c>
      <c r="D13" s="483" t="s">
        <v>18393</v>
      </c>
      <c r="E13" s="484">
        <v>3065</v>
      </c>
      <c r="F13" s="485">
        <v>6589280</v>
      </c>
      <c r="G13" s="485">
        <v>724521</v>
      </c>
      <c r="H13" s="485">
        <v>230</v>
      </c>
      <c r="I13" s="483" t="s">
        <v>17629</v>
      </c>
      <c r="J13" s="483" t="s">
        <v>18394</v>
      </c>
      <c r="K13" s="478"/>
      <c r="L13" s="485">
        <v>17</v>
      </c>
      <c r="M13" s="483" t="s">
        <v>18395</v>
      </c>
      <c r="N13" s="483" t="s">
        <v>18396</v>
      </c>
      <c r="O13" s="479">
        <v>3</v>
      </c>
      <c r="P13" s="480" t="s">
        <v>17628</v>
      </c>
      <c r="Q13" s="378" t="str">
        <f t="shared" si="0"/>
        <v>20200404320001INV</v>
      </c>
    </row>
    <row r="14" spans="1:17" ht="20.100000000000001" customHeight="1">
      <c r="A14" s="473" t="s">
        <v>18431</v>
      </c>
      <c r="B14" s="483" t="s">
        <v>18397</v>
      </c>
      <c r="C14" s="483" t="s">
        <v>18398</v>
      </c>
      <c r="D14" s="483" t="s">
        <v>18399</v>
      </c>
      <c r="E14" s="484">
        <v>3315</v>
      </c>
      <c r="F14" s="485">
        <v>6591218</v>
      </c>
      <c r="G14" s="485">
        <v>686421</v>
      </c>
      <c r="H14" s="485">
        <v>235</v>
      </c>
      <c r="I14" s="483" t="s">
        <v>17626</v>
      </c>
      <c r="J14" s="483" t="s">
        <v>18400</v>
      </c>
      <c r="K14" s="478"/>
      <c r="L14" s="485">
        <v>21</v>
      </c>
      <c r="M14" s="483" t="s">
        <v>18235</v>
      </c>
      <c r="N14" s="483" t="s">
        <v>18401</v>
      </c>
      <c r="O14" s="479">
        <v>3</v>
      </c>
      <c r="P14" s="480" t="s">
        <v>17628</v>
      </c>
      <c r="Q14" s="378" t="str">
        <f t="shared" si="0"/>
        <v>20200406140001INV</v>
      </c>
    </row>
    <row r="15" spans="1:17" ht="20.100000000000001" customHeight="1">
      <c r="A15" s="473" t="s">
        <v>18432</v>
      </c>
      <c r="B15" s="483" t="s">
        <v>18402</v>
      </c>
      <c r="C15" s="483" t="s">
        <v>18403</v>
      </c>
      <c r="D15" s="483" t="s">
        <v>18404</v>
      </c>
      <c r="E15" s="484">
        <v>15258</v>
      </c>
      <c r="F15" s="485">
        <v>6429654</v>
      </c>
      <c r="G15" s="485">
        <v>669660</v>
      </c>
      <c r="H15" s="485">
        <v>654</v>
      </c>
      <c r="I15" s="483" t="s">
        <v>17626</v>
      </c>
      <c r="J15" s="483" t="s">
        <v>18405</v>
      </c>
      <c r="K15" s="478"/>
      <c r="L15" s="485">
        <v>3</v>
      </c>
      <c r="M15" s="483" t="s">
        <v>83</v>
      </c>
      <c r="N15" s="483" t="s">
        <v>18406</v>
      </c>
      <c r="O15" s="487">
        <v>15</v>
      </c>
      <c r="P15" s="480" t="s">
        <v>17628</v>
      </c>
      <c r="Q15" s="378" t="str">
        <f t="shared" si="0"/>
        <v>20200506600001INV</v>
      </c>
    </row>
    <row r="16" spans="1:17" s="152" customFormat="1" ht="20.100000000000001" customHeight="1">
      <c r="A16" s="473" t="s">
        <v>18433</v>
      </c>
      <c r="B16" s="478" t="s">
        <v>18407</v>
      </c>
      <c r="C16" s="478" t="s">
        <v>18408</v>
      </c>
      <c r="D16" s="478" t="s">
        <v>18409</v>
      </c>
      <c r="E16" s="479">
        <v>15070</v>
      </c>
      <c r="F16" s="477">
        <v>6447000</v>
      </c>
      <c r="G16" s="477">
        <v>659633</v>
      </c>
      <c r="H16" s="478"/>
      <c r="I16" s="478" t="s">
        <v>17631</v>
      </c>
      <c r="J16" s="478" t="s">
        <v>18410</v>
      </c>
      <c r="K16" s="486"/>
      <c r="L16" s="488">
        <v>3</v>
      </c>
      <c r="M16" s="489" t="s">
        <v>17630</v>
      </c>
      <c r="N16" s="489"/>
      <c r="O16" s="479">
        <v>15</v>
      </c>
      <c r="P16" s="480" t="s">
        <v>17628</v>
      </c>
      <c r="Q16" s="378" t="str">
        <f t="shared" si="0"/>
        <v>20200506817001INV</v>
      </c>
    </row>
    <row r="17" spans="1:17" s="152" customFormat="1" ht="20.100000000000001" customHeight="1">
      <c r="A17" s="473" t="s">
        <v>18434</v>
      </c>
      <c r="B17" s="474" t="s">
        <v>18411</v>
      </c>
      <c r="C17" s="474" t="s">
        <v>18412</v>
      </c>
      <c r="D17" s="474" t="s">
        <v>18413</v>
      </c>
      <c r="E17" s="475">
        <v>15063</v>
      </c>
      <c r="F17" s="477">
        <v>6453200</v>
      </c>
      <c r="G17" s="477">
        <v>648796</v>
      </c>
      <c r="H17" s="474"/>
      <c r="I17" s="478" t="s">
        <v>17631</v>
      </c>
      <c r="J17" s="474"/>
      <c r="K17" s="474"/>
      <c r="L17" s="488">
        <v>3</v>
      </c>
      <c r="M17" s="489" t="s">
        <v>17630</v>
      </c>
      <c r="N17" s="489"/>
      <c r="O17" s="487">
        <v>15</v>
      </c>
      <c r="P17" s="480" t="s">
        <v>17628</v>
      </c>
      <c r="Q17" s="378" t="str">
        <f t="shared" si="0"/>
        <v>20200506851001INV</v>
      </c>
    </row>
    <row r="18" spans="1:17" s="152" customFormat="1" ht="20.100000000000001" customHeight="1">
      <c r="A18" s="473" t="s">
        <v>18435</v>
      </c>
      <c r="B18" s="483" t="s">
        <v>18414</v>
      </c>
      <c r="C18" s="483" t="s">
        <v>18415</v>
      </c>
      <c r="D18" s="483" t="s">
        <v>18416</v>
      </c>
      <c r="E18" s="484">
        <v>63421</v>
      </c>
      <c r="F18" s="485">
        <v>6498543</v>
      </c>
      <c r="G18" s="485">
        <v>664819</v>
      </c>
      <c r="H18" s="485">
        <v>574</v>
      </c>
      <c r="I18" s="483" t="s">
        <v>17626</v>
      </c>
      <c r="J18" s="483" t="s">
        <v>18416</v>
      </c>
      <c r="K18" s="474"/>
      <c r="L18" s="485">
        <v>21</v>
      </c>
      <c r="M18" s="483" t="s">
        <v>17635</v>
      </c>
      <c r="N18" s="483" t="s">
        <v>18417</v>
      </c>
      <c r="O18" s="485">
        <v>63</v>
      </c>
      <c r="P18" s="480" t="s">
        <v>17628</v>
      </c>
      <c r="Q18" s="378" t="str">
        <f t="shared" si="0"/>
        <v>20200506940001INV</v>
      </c>
    </row>
    <row r="19" spans="1:17" s="152" customFormat="1" ht="20.100000000000001" customHeight="1">
      <c r="A19" s="379" t="s">
        <v>17637</v>
      </c>
      <c r="B19" s="490" t="s">
        <v>17638</v>
      </c>
      <c r="C19" s="490" t="s">
        <v>17639</v>
      </c>
      <c r="D19" s="490" t="s">
        <v>17640</v>
      </c>
      <c r="E19" s="380">
        <v>69012</v>
      </c>
      <c r="F19" s="491">
        <v>6566576</v>
      </c>
      <c r="G19" s="491">
        <v>819265</v>
      </c>
      <c r="H19" s="492">
        <v>415</v>
      </c>
      <c r="I19" s="493" t="s">
        <v>17629</v>
      </c>
      <c r="J19" s="494" t="s">
        <v>17641</v>
      </c>
      <c r="K19" s="495"/>
      <c r="L19" s="491">
        <v>3</v>
      </c>
      <c r="M19" s="496" t="s">
        <v>17630</v>
      </c>
      <c r="N19" s="495"/>
      <c r="O19" s="497">
        <v>69</v>
      </c>
      <c r="P19" s="480" t="s">
        <v>17628</v>
      </c>
      <c r="Q19" s="496" t="str">
        <f>CONCATENATE("2019",A19,P19,"INV")</f>
        <v>20190605135001INV</v>
      </c>
    </row>
    <row r="20" spans="1:17" s="152" customFormat="1" ht="20.100000000000001" customHeight="1">
      <c r="A20" s="153" t="s">
        <v>17642</v>
      </c>
      <c r="B20" s="498" t="s">
        <v>17643</v>
      </c>
      <c r="C20" s="498" t="s">
        <v>17644</v>
      </c>
      <c r="D20" s="499" t="s">
        <v>17645</v>
      </c>
      <c r="E20" s="154">
        <v>73008</v>
      </c>
      <c r="F20" s="500">
        <v>6514593</v>
      </c>
      <c r="G20" s="500">
        <v>925025</v>
      </c>
      <c r="H20" s="501">
        <v>234</v>
      </c>
      <c r="I20" s="502" t="s">
        <v>17631</v>
      </c>
      <c r="J20" s="503" t="s">
        <v>17646</v>
      </c>
      <c r="K20" s="499"/>
      <c r="L20" s="500">
        <v>5</v>
      </c>
      <c r="M20" s="504" t="s">
        <v>85</v>
      </c>
      <c r="N20" s="499" t="s">
        <v>17647</v>
      </c>
      <c r="O20" s="505">
        <v>74</v>
      </c>
      <c r="P20" s="506" t="s">
        <v>17628</v>
      </c>
      <c r="Q20" s="504" t="str">
        <f>CONCATENATE("2021",A20,P20,"INV")</f>
        <v>20210607450001INV</v>
      </c>
    </row>
    <row r="21" spans="1:17" s="152" customFormat="1" ht="20.100000000000001" customHeight="1">
      <c r="A21" s="499" t="s">
        <v>17648</v>
      </c>
      <c r="B21" s="498" t="s">
        <v>17649</v>
      </c>
      <c r="C21" s="498" t="s">
        <v>17650</v>
      </c>
      <c r="D21" s="498" t="s">
        <v>17651</v>
      </c>
      <c r="E21" s="154" t="s">
        <v>17652</v>
      </c>
      <c r="F21" s="500">
        <v>6566834</v>
      </c>
      <c r="G21" s="500">
        <v>897067</v>
      </c>
      <c r="H21" s="501">
        <v>475</v>
      </c>
      <c r="I21" s="502" t="s">
        <v>17626</v>
      </c>
      <c r="J21" s="503" t="s">
        <v>17653</v>
      </c>
      <c r="K21" s="499" t="s">
        <v>17631</v>
      </c>
      <c r="L21" s="500">
        <v>5</v>
      </c>
      <c r="M21" s="504" t="s">
        <v>85</v>
      </c>
      <c r="N21" s="499" t="s">
        <v>17654</v>
      </c>
      <c r="O21" s="507" t="s">
        <v>17628</v>
      </c>
      <c r="P21" s="506" t="s">
        <v>17628</v>
      </c>
      <c r="Q21" s="504" t="str">
        <f t="shared" ref="Q21:Q27" si="1">CONCATENATE("2019",A21,P21,"INV")</f>
        <v>20190608610001INV</v>
      </c>
    </row>
    <row r="22" spans="1:17" ht="20.100000000000001" customHeight="1">
      <c r="A22" s="473" t="s">
        <v>17655</v>
      </c>
      <c r="B22" s="508" t="s">
        <v>17656</v>
      </c>
      <c r="C22" s="509" t="s">
        <v>17657</v>
      </c>
      <c r="D22" s="509" t="s">
        <v>17658</v>
      </c>
      <c r="E22" s="510">
        <v>73196</v>
      </c>
      <c r="F22" s="511">
        <v>6516213</v>
      </c>
      <c r="G22" s="511">
        <v>964719</v>
      </c>
      <c r="H22" s="512">
        <v>391</v>
      </c>
      <c r="I22" s="513" t="s">
        <v>17626</v>
      </c>
      <c r="J22" s="509" t="s">
        <v>17659</v>
      </c>
      <c r="K22" s="514"/>
      <c r="L22" s="515">
        <v>2</v>
      </c>
      <c r="M22" s="514" t="s">
        <v>17660</v>
      </c>
      <c r="N22" s="514" t="s">
        <v>17661</v>
      </c>
      <c r="O22" s="516">
        <v>73</v>
      </c>
      <c r="P22" s="506" t="s">
        <v>17628</v>
      </c>
      <c r="Q22" s="504" t="str">
        <f t="shared" si="1"/>
        <v>20190613700001INV</v>
      </c>
    </row>
    <row r="23" spans="1:17" ht="20.100000000000001" customHeight="1">
      <c r="A23" s="473" t="s">
        <v>17662</v>
      </c>
      <c r="B23" s="508" t="s">
        <v>17663</v>
      </c>
      <c r="C23" s="514" t="s">
        <v>17664</v>
      </c>
      <c r="D23" s="514" t="s">
        <v>17665</v>
      </c>
      <c r="E23" s="510" t="s">
        <v>17666</v>
      </c>
      <c r="F23" s="511">
        <v>6503560</v>
      </c>
      <c r="G23" s="511">
        <v>954927</v>
      </c>
      <c r="H23" s="512">
        <v>298</v>
      </c>
      <c r="I23" s="513" t="s">
        <v>17626</v>
      </c>
      <c r="J23" s="509" t="s">
        <v>17667</v>
      </c>
      <c r="K23" s="514"/>
      <c r="L23" s="515">
        <v>2</v>
      </c>
      <c r="M23" s="514" t="s">
        <v>17668</v>
      </c>
      <c r="N23" s="514" t="s">
        <v>17669</v>
      </c>
      <c r="O23" s="517">
        <v>73</v>
      </c>
      <c r="P23" s="506" t="s">
        <v>17628</v>
      </c>
      <c r="Q23" s="504" t="str">
        <f t="shared" si="1"/>
        <v>20190613720001INV</v>
      </c>
    </row>
    <row r="24" spans="1:17" ht="20.100000000000001" customHeight="1">
      <c r="A24" s="473" t="s">
        <v>17670</v>
      </c>
      <c r="B24" s="508" t="s">
        <v>17671</v>
      </c>
      <c r="C24" s="514" t="s">
        <v>17672</v>
      </c>
      <c r="D24" s="514" t="s">
        <v>17673</v>
      </c>
      <c r="E24" s="510" t="s">
        <v>17674</v>
      </c>
      <c r="F24" s="511">
        <v>6481429</v>
      </c>
      <c r="G24" s="511">
        <v>940935</v>
      </c>
      <c r="H24" s="512">
        <v>481</v>
      </c>
      <c r="I24" s="513" t="s">
        <v>17626</v>
      </c>
      <c r="J24" s="509" t="s">
        <v>17675</v>
      </c>
      <c r="K24" s="514"/>
      <c r="L24" s="515">
        <v>2</v>
      </c>
      <c r="M24" s="514" t="s">
        <v>17676</v>
      </c>
      <c r="N24" s="514" t="s">
        <v>17677</v>
      </c>
      <c r="O24" s="517">
        <v>38</v>
      </c>
      <c r="P24" s="506" t="s">
        <v>17628</v>
      </c>
      <c r="Q24" s="504" t="str">
        <f t="shared" si="1"/>
        <v>20190614001001INV</v>
      </c>
    </row>
    <row r="25" spans="1:17" ht="20.100000000000001" customHeight="1">
      <c r="A25" s="518" t="s">
        <v>17678</v>
      </c>
      <c r="B25" s="519" t="s">
        <v>17679</v>
      </c>
      <c r="C25" s="520" t="s">
        <v>17680</v>
      </c>
      <c r="D25" s="520" t="s">
        <v>17681</v>
      </c>
      <c r="E25" s="521" t="s">
        <v>17682</v>
      </c>
      <c r="F25" s="522">
        <v>6450789</v>
      </c>
      <c r="G25" s="522">
        <v>936885</v>
      </c>
      <c r="H25" s="520">
        <v>709</v>
      </c>
      <c r="I25" s="523" t="s">
        <v>17626</v>
      </c>
      <c r="J25" s="524" t="s">
        <v>17683</v>
      </c>
      <c r="K25" s="520"/>
      <c r="L25" s="525">
        <v>2</v>
      </c>
      <c r="M25" s="520" t="s">
        <v>17684</v>
      </c>
      <c r="N25" s="520" t="s">
        <v>17685</v>
      </c>
      <c r="O25" s="526">
        <v>38</v>
      </c>
      <c r="P25" s="506" t="s">
        <v>17628</v>
      </c>
      <c r="Q25" s="504" t="str">
        <f t="shared" si="1"/>
        <v>20190614395001INV</v>
      </c>
    </row>
    <row r="26" spans="1:17" ht="20.100000000000001" customHeight="1">
      <c r="A26" s="527" t="s">
        <v>17686</v>
      </c>
      <c r="B26" s="528" t="s">
        <v>17687</v>
      </c>
      <c r="C26" s="499" t="s">
        <v>17688</v>
      </c>
      <c r="D26" s="499" t="s">
        <v>17689</v>
      </c>
      <c r="E26" s="529">
        <v>38518</v>
      </c>
      <c r="F26" s="530">
        <v>6426306</v>
      </c>
      <c r="G26" s="530">
        <v>930862</v>
      </c>
      <c r="H26" s="499">
        <v>740</v>
      </c>
      <c r="I26" s="531" t="s">
        <v>17626</v>
      </c>
      <c r="J26" s="528" t="s">
        <v>17690</v>
      </c>
      <c r="K26" s="499"/>
      <c r="L26" s="532">
        <v>2</v>
      </c>
      <c r="M26" s="499" t="s">
        <v>17676</v>
      </c>
      <c r="N26" s="499" t="s">
        <v>17691</v>
      </c>
      <c r="O26" s="529">
        <v>38</v>
      </c>
      <c r="P26" s="506" t="s">
        <v>17628</v>
      </c>
      <c r="Q26" s="504" t="str">
        <f t="shared" si="1"/>
        <v>20190615425001INV</v>
      </c>
    </row>
    <row r="27" spans="1:17" ht="15">
      <c r="A27" s="533" t="s">
        <v>17692</v>
      </c>
      <c r="B27" s="528" t="s">
        <v>17693</v>
      </c>
      <c r="C27" s="534" t="s">
        <v>17694</v>
      </c>
      <c r="D27" s="534" t="s">
        <v>17695</v>
      </c>
      <c r="E27" s="529">
        <v>69149</v>
      </c>
      <c r="F27" s="530">
        <v>6515108</v>
      </c>
      <c r="G27" s="530">
        <v>840303</v>
      </c>
      <c r="H27" s="535">
        <v>167</v>
      </c>
      <c r="I27" s="531" t="s">
        <v>17631</v>
      </c>
      <c r="J27" s="528" t="s">
        <v>17696</v>
      </c>
      <c r="K27" s="499"/>
      <c r="L27" s="532">
        <v>3</v>
      </c>
      <c r="M27" s="534" t="s">
        <v>83</v>
      </c>
      <c r="N27" s="499" t="s">
        <v>17697</v>
      </c>
      <c r="O27" s="536">
        <v>69</v>
      </c>
      <c r="P27" s="506" t="s">
        <v>17628</v>
      </c>
      <c r="Q27" s="504" t="str">
        <f t="shared" si="1"/>
        <v>20190609213001INV</v>
      </c>
    </row>
    <row r="28" spans="1:17" ht="15">
      <c r="A28" s="533" t="s">
        <v>17698</v>
      </c>
      <c r="B28" s="528" t="s">
        <v>17699</v>
      </c>
      <c r="C28" s="534" t="s">
        <v>17700</v>
      </c>
      <c r="D28" s="534" t="s">
        <v>17701</v>
      </c>
      <c r="E28" s="537" t="s">
        <v>17702</v>
      </c>
      <c r="F28" s="530">
        <v>6457878</v>
      </c>
      <c r="G28" s="530">
        <v>840264</v>
      </c>
      <c r="H28" s="535">
        <v>139</v>
      </c>
      <c r="I28" s="531" t="s">
        <v>17626</v>
      </c>
      <c r="J28" s="528" t="s">
        <v>17703</v>
      </c>
      <c r="K28" s="499" t="s">
        <v>17631</v>
      </c>
      <c r="L28" s="532">
        <v>3</v>
      </c>
      <c r="M28" s="534" t="s">
        <v>17634</v>
      </c>
      <c r="N28" s="499" t="s">
        <v>17704</v>
      </c>
      <c r="O28" s="538" t="s">
        <v>17627</v>
      </c>
      <c r="P28" s="506" t="s">
        <v>17628</v>
      </c>
      <c r="Q28" s="504" t="str">
        <f>CONCATENATE("2021",A28,P28,"INV")</f>
        <v>20210610350001INV</v>
      </c>
    </row>
    <row r="29" spans="1:17" ht="15">
      <c r="A29" s="533" t="s">
        <v>17705</v>
      </c>
      <c r="B29" s="528" t="s">
        <v>17706</v>
      </c>
      <c r="C29" s="534" t="s">
        <v>17707</v>
      </c>
      <c r="D29" s="534" t="s">
        <v>17708</v>
      </c>
      <c r="E29" s="529">
        <v>26076</v>
      </c>
      <c r="F29" s="530">
        <v>6388467</v>
      </c>
      <c r="G29" s="530">
        <v>898900</v>
      </c>
      <c r="H29" s="535">
        <v>653</v>
      </c>
      <c r="I29" s="531" t="s">
        <v>17626</v>
      </c>
      <c r="J29" s="528" t="s">
        <v>17709</v>
      </c>
      <c r="K29" s="499"/>
      <c r="L29" s="532">
        <v>7</v>
      </c>
      <c r="M29" s="534" t="s">
        <v>17710</v>
      </c>
      <c r="N29" s="499" t="s">
        <v>17711</v>
      </c>
      <c r="O29" s="536">
        <v>26</v>
      </c>
      <c r="P29" s="506" t="s">
        <v>17628</v>
      </c>
      <c r="Q29" s="504" t="str">
        <f t="shared" ref="Q29:Q39" si="2">CONCATENATE("2019",A29,P29,"INV")</f>
        <v>20190610905001INV</v>
      </c>
    </row>
    <row r="30" spans="1:17" ht="15">
      <c r="A30" s="539" t="s">
        <v>17712</v>
      </c>
      <c r="B30" s="528" t="s">
        <v>17706</v>
      </c>
      <c r="C30" s="534" t="s">
        <v>17713</v>
      </c>
      <c r="D30" s="499" t="s">
        <v>17714</v>
      </c>
      <c r="E30" s="529">
        <v>26165</v>
      </c>
      <c r="F30" s="530">
        <v>6409460</v>
      </c>
      <c r="G30" s="530">
        <v>844415</v>
      </c>
      <c r="H30" s="535">
        <v>185</v>
      </c>
      <c r="I30" s="531" t="s">
        <v>17626</v>
      </c>
      <c r="J30" s="528" t="s">
        <v>17715</v>
      </c>
      <c r="K30" s="499"/>
      <c r="L30" s="532">
        <v>6</v>
      </c>
      <c r="M30" s="534" t="s">
        <v>17716</v>
      </c>
      <c r="N30" s="499" t="s">
        <v>17717</v>
      </c>
      <c r="O30" s="536">
        <v>26</v>
      </c>
      <c r="P30" s="540" t="s">
        <v>17628</v>
      </c>
      <c r="Q30" s="504" t="str">
        <f t="shared" si="2"/>
        <v>20190610910001INV</v>
      </c>
    </row>
    <row r="31" spans="1:17" ht="15">
      <c r="A31" s="533" t="s">
        <v>17718</v>
      </c>
      <c r="B31" s="528" t="s">
        <v>17719</v>
      </c>
      <c r="C31" s="534" t="s">
        <v>17720</v>
      </c>
      <c r="D31" s="499" t="s">
        <v>17721</v>
      </c>
      <c r="E31" s="537" t="s">
        <v>17722</v>
      </c>
      <c r="F31" s="530">
        <v>6374421</v>
      </c>
      <c r="G31" s="530">
        <v>815060</v>
      </c>
      <c r="H31" s="535">
        <v>190</v>
      </c>
      <c r="I31" s="531" t="s">
        <v>17629</v>
      </c>
      <c r="J31" s="528" t="s">
        <v>17723</v>
      </c>
      <c r="K31" s="499" t="s">
        <v>17626</v>
      </c>
      <c r="L31" s="532">
        <v>6</v>
      </c>
      <c r="M31" s="534" t="s">
        <v>17724</v>
      </c>
      <c r="N31" s="499" t="s">
        <v>17725</v>
      </c>
      <c r="O31" s="537" t="s">
        <v>17627</v>
      </c>
      <c r="P31" s="540" t="s">
        <v>17628</v>
      </c>
      <c r="Q31" s="504" t="str">
        <f t="shared" si="2"/>
        <v>20190611508001INV</v>
      </c>
    </row>
    <row r="32" spans="1:17" ht="15">
      <c r="A32" s="533" t="s">
        <v>17726</v>
      </c>
      <c r="B32" s="528" t="s">
        <v>17727</v>
      </c>
      <c r="C32" s="534" t="s">
        <v>17728</v>
      </c>
      <c r="D32" s="499" t="s">
        <v>17721</v>
      </c>
      <c r="E32" s="537" t="s">
        <v>17729</v>
      </c>
      <c r="F32" s="530">
        <v>6366242</v>
      </c>
      <c r="G32" s="530">
        <v>812178</v>
      </c>
      <c r="H32" s="535">
        <v>92</v>
      </c>
      <c r="I32" s="531" t="s">
        <v>17626</v>
      </c>
      <c r="J32" s="528" t="s">
        <v>17730</v>
      </c>
      <c r="K32" s="499"/>
      <c r="L32" s="532">
        <v>6</v>
      </c>
      <c r="M32" s="534" t="s">
        <v>17731</v>
      </c>
      <c r="N32" s="499" t="s">
        <v>17725</v>
      </c>
      <c r="O32" s="537" t="s">
        <v>17627</v>
      </c>
      <c r="P32" s="506" t="s">
        <v>17628</v>
      </c>
      <c r="Q32" s="504" t="str">
        <f t="shared" si="2"/>
        <v>20190611509001INV</v>
      </c>
    </row>
    <row r="33" spans="1:17" ht="15">
      <c r="A33" s="533" t="s">
        <v>17732</v>
      </c>
      <c r="B33" s="528" t="s">
        <v>17663</v>
      </c>
      <c r="C33" s="534" t="s">
        <v>17733</v>
      </c>
      <c r="D33" s="499" t="s">
        <v>17734</v>
      </c>
      <c r="E33" s="529">
        <v>73285</v>
      </c>
      <c r="F33" s="530">
        <v>6508665</v>
      </c>
      <c r="G33" s="530">
        <v>998015</v>
      </c>
      <c r="H33" s="535">
        <v>840</v>
      </c>
      <c r="I33" s="531" t="s">
        <v>17626</v>
      </c>
      <c r="J33" s="528" t="s">
        <v>17735</v>
      </c>
      <c r="K33" s="499"/>
      <c r="L33" s="532">
        <v>2</v>
      </c>
      <c r="M33" s="534" t="s">
        <v>17676</v>
      </c>
      <c r="N33" s="499" t="s">
        <v>17736</v>
      </c>
      <c r="O33" s="529">
        <v>73</v>
      </c>
      <c r="P33" s="540" t="s">
        <v>17628</v>
      </c>
      <c r="Q33" s="504" t="str">
        <f t="shared" si="2"/>
        <v>20190613300001INV</v>
      </c>
    </row>
    <row r="34" spans="1:17" ht="18" customHeight="1">
      <c r="A34" s="533" t="s">
        <v>17737</v>
      </c>
      <c r="B34" s="528" t="s">
        <v>17738</v>
      </c>
      <c r="C34" s="499" t="s">
        <v>17739</v>
      </c>
      <c r="D34" s="499" t="s">
        <v>17740</v>
      </c>
      <c r="E34" s="529">
        <v>73201</v>
      </c>
      <c r="F34" s="530">
        <v>6485968</v>
      </c>
      <c r="G34" s="530">
        <v>989973</v>
      </c>
      <c r="H34" s="535">
        <v>1189</v>
      </c>
      <c r="I34" s="531" t="s">
        <v>17626</v>
      </c>
      <c r="J34" s="528" t="s">
        <v>17741</v>
      </c>
      <c r="K34" s="499"/>
      <c r="L34" s="532">
        <v>2</v>
      </c>
      <c r="M34" s="534" t="s">
        <v>17676</v>
      </c>
      <c r="N34" s="499" t="s">
        <v>17742</v>
      </c>
      <c r="O34" s="529">
        <v>73</v>
      </c>
      <c r="P34" s="540" t="s">
        <v>17628</v>
      </c>
      <c r="Q34" s="504" t="str">
        <f t="shared" si="2"/>
        <v>20190613335001INV</v>
      </c>
    </row>
    <row r="35" spans="1:17" ht="15" customHeight="1">
      <c r="A35" s="533" t="s">
        <v>17743</v>
      </c>
      <c r="B35" s="528" t="s">
        <v>17744</v>
      </c>
      <c r="C35" s="528" t="s">
        <v>17745</v>
      </c>
      <c r="D35" s="499" t="s">
        <v>17746</v>
      </c>
      <c r="E35" s="529">
        <v>38206</v>
      </c>
      <c r="F35" s="530">
        <v>6463775</v>
      </c>
      <c r="G35" s="530">
        <v>933623</v>
      </c>
      <c r="H35" s="535">
        <v>943</v>
      </c>
      <c r="I35" s="531" t="s">
        <v>17629</v>
      </c>
      <c r="J35" s="528" t="s">
        <v>17747</v>
      </c>
      <c r="K35" s="499" t="s">
        <v>17626</v>
      </c>
      <c r="L35" s="532">
        <v>2</v>
      </c>
      <c r="M35" s="534" t="s">
        <v>17748</v>
      </c>
      <c r="N35" s="499" t="s">
        <v>17749</v>
      </c>
      <c r="O35" s="529">
        <v>38</v>
      </c>
      <c r="P35" s="540" t="s">
        <v>17628</v>
      </c>
      <c r="Q35" s="504" t="str">
        <f t="shared" si="2"/>
        <v>20190614152001INV</v>
      </c>
    </row>
    <row r="36" spans="1:17" ht="15">
      <c r="A36" s="533" t="s">
        <v>17750</v>
      </c>
      <c r="B36" s="528" t="s">
        <v>17751</v>
      </c>
      <c r="C36" s="499" t="s">
        <v>17752</v>
      </c>
      <c r="D36" s="499" t="s">
        <v>17753</v>
      </c>
      <c r="E36" s="537" t="s">
        <v>17754</v>
      </c>
      <c r="F36" s="530">
        <v>6574010</v>
      </c>
      <c r="G36" s="530">
        <v>875623</v>
      </c>
      <c r="H36" s="535">
        <v>245</v>
      </c>
      <c r="I36" s="531" t="s">
        <v>17629</v>
      </c>
      <c r="J36" s="528" t="s">
        <v>17755</v>
      </c>
      <c r="K36" s="499"/>
      <c r="L36" s="532">
        <v>15</v>
      </c>
      <c r="M36" s="534" t="s">
        <v>17756</v>
      </c>
      <c r="N36" s="499" t="s">
        <v>17757</v>
      </c>
      <c r="O36" s="537" t="s">
        <v>17628</v>
      </c>
      <c r="P36" s="540" t="s">
        <v>17628</v>
      </c>
      <c r="Q36" s="504" t="str">
        <f t="shared" si="2"/>
        <v>20190632022001INV</v>
      </c>
    </row>
    <row r="37" spans="1:17" ht="15">
      <c r="A37" s="533" t="s">
        <v>17758</v>
      </c>
      <c r="B37" s="528" t="s">
        <v>17759</v>
      </c>
      <c r="C37" s="499" t="s">
        <v>17760</v>
      </c>
      <c r="D37" s="499" t="s">
        <v>17701</v>
      </c>
      <c r="E37" s="537" t="s">
        <v>17761</v>
      </c>
      <c r="F37" s="530">
        <v>6456120</v>
      </c>
      <c r="G37" s="530">
        <v>837819</v>
      </c>
      <c r="H37" s="535">
        <v>252</v>
      </c>
      <c r="I37" s="531" t="s">
        <v>17626</v>
      </c>
      <c r="J37" s="528" t="s">
        <v>17762</v>
      </c>
      <c r="K37" s="499"/>
      <c r="L37" s="532">
        <v>3</v>
      </c>
      <c r="M37" s="534" t="s">
        <v>83</v>
      </c>
      <c r="N37" s="499" t="s">
        <v>17763</v>
      </c>
      <c r="O37" s="537" t="s">
        <v>17627</v>
      </c>
      <c r="P37" s="540" t="s">
        <v>17628</v>
      </c>
      <c r="Q37" s="504" t="str">
        <f t="shared" si="2"/>
        <v>20190658007501INV</v>
      </c>
    </row>
    <row r="38" spans="1:17" ht="15">
      <c r="A38" s="533" t="s">
        <v>17764</v>
      </c>
      <c r="B38" s="528" t="s">
        <v>17765</v>
      </c>
      <c r="C38" s="499" t="s">
        <v>17766</v>
      </c>
      <c r="D38" s="499" t="s">
        <v>17767</v>
      </c>
      <c r="E38" s="537" t="s">
        <v>17768</v>
      </c>
      <c r="F38" s="530">
        <v>6377927</v>
      </c>
      <c r="G38" s="530">
        <v>805297</v>
      </c>
      <c r="H38" s="535">
        <v>147</v>
      </c>
      <c r="I38" s="531" t="s">
        <v>17626</v>
      </c>
      <c r="J38" s="528" t="s">
        <v>17769</v>
      </c>
      <c r="K38" s="499"/>
      <c r="L38" s="532">
        <v>8</v>
      </c>
      <c r="M38" s="534" t="s">
        <v>17770</v>
      </c>
      <c r="N38" s="499" t="s">
        <v>17771</v>
      </c>
      <c r="O38" s="537" t="s">
        <v>17627</v>
      </c>
      <c r="P38" s="540" t="s">
        <v>17628</v>
      </c>
      <c r="Q38" s="504" t="str">
        <f t="shared" si="2"/>
        <v>20190658027401INV</v>
      </c>
    </row>
    <row r="39" spans="1:17" ht="15">
      <c r="A39" s="533" t="s">
        <v>17772</v>
      </c>
      <c r="B39" s="528" t="s">
        <v>17773</v>
      </c>
      <c r="C39" s="499" t="s">
        <v>17774</v>
      </c>
      <c r="D39" s="499" t="s">
        <v>17775</v>
      </c>
      <c r="E39" s="537" t="s">
        <v>17776</v>
      </c>
      <c r="F39" s="530">
        <v>6559047</v>
      </c>
      <c r="G39" s="530">
        <v>874653</v>
      </c>
      <c r="H39" s="535">
        <v>252</v>
      </c>
      <c r="I39" s="531" t="s">
        <v>17629</v>
      </c>
      <c r="J39" s="528" t="s">
        <v>17777</v>
      </c>
      <c r="K39" s="499"/>
      <c r="L39" s="532">
        <v>15</v>
      </c>
      <c r="M39" s="534" t="s">
        <v>17756</v>
      </c>
      <c r="N39" s="499"/>
      <c r="O39" s="537" t="s">
        <v>17628</v>
      </c>
      <c r="P39" s="540" t="s">
        <v>17628</v>
      </c>
      <c r="Q39" s="504" t="str">
        <f t="shared" si="2"/>
        <v>20190680000001INV</v>
      </c>
    </row>
    <row r="40" spans="1:17" ht="15">
      <c r="A40" s="533" t="s">
        <v>17778</v>
      </c>
      <c r="B40" s="528" t="s">
        <v>17779</v>
      </c>
      <c r="C40" s="499" t="s">
        <v>17780</v>
      </c>
      <c r="D40" s="499" t="s">
        <v>17781</v>
      </c>
      <c r="E40" s="537" t="s">
        <v>17782</v>
      </c>
      <c r="F40" s="530">
        <v>6408091</v>
      </c>
      <c r="G40" s="530">
        <v>837214</v>
      </c>
      <c r="H40" s="535">
        <v>95</v>
      </c>
      <c r="I40" s="531" t="s">
        <v>17626</v>
      </c>
      <c r="J40" s="528" t="s">
        <v>17783</v>
      </c>
      <c r="K40" s="499"/>
      <c r="L40" s="532">
        <v>8</v>
      </c>
      <c r="M40" s="534" t="s">
        <v>17770</v>
      </c>
      <c r="N40" s="499" t="s">
        <v>17784</v>
      </c>
      <c r="O40" s="537" t="s">
        <v>17627</v>
      </c>
      <c r="P40" s="540" t="s">
        <v>17628</v>
      </c>
      <c r="Q40" s="504" t="str">
        <f>CONCATENATE("2021",A40,P40,"INV")</f>
        <v>20210682001301INV</v>
      </c>
    </row>
    <row r="41" spans="1:17">
      <c r="A41" s="539" t="s">
        <v>17785</v>
      </c>
      <c r="B41" s="499" t="s">
        <v>17786</v>
      </c>
      <c r="C41" s="499" t="s">
        <v>17787</v>
      </c>
      <c r="D41" s="499" t="s">
        <v>17788</v>
      </c>
      <c r="E41" s="529">
        <v>74152</v>
      </c>
      <c r="F41" s="499">
        <v>6537836</v>
      </c>
      <c r="G41" s="499">
        <v>936948</v>
      </c>
      <c r="H41" s="499"/>
      <c r="I41" s="499" t="s">
        <v>17626</v>
      </c>
      <c r="J41" s="499" t="s">
        <v>17789</v>
      </c>
      <c r="K41" s="499"/>
      <c r="L41" s="499">
        <v>5</v>
      </c>
      <c r="M41" s="499" t="s">
        <v>17790</v>
      </c>
      <c r="N41" s="499" t="s">
        <v>17791</v>
      </c>
      <c r="O41" s="529">
        <v>74</v>
      </c>
      <c r="P41" s="540" t="s">
        <v>17628</v>
      </c>
      <c r="Q41" s="504" t="str">
        <f>CONCATENATE("2020",A41,P41,"INV")</f>
        <v>20200607010001INV</v>
      </c>
    </row>
    <row r="42" spans="1:17">
      <c r="A42" s="533" t="s">
        <v>17792</v>
      </c>
      <c r="B42" s="499" t="s">
        <v>17786</v>
      </c>
      <c r="C42" s="499" t="s">
        <v>17793</v>
      </c>
      <c r="D42" s="499" t="s">
        <v>17794</v>
      </c>
      <c r="E42" s="529">
        <v>74269</v>
      </c>
      <c r="F42" s="499">
        <v>6541069</v>
      </c>
      <c r="G42" s="499">
        <v>920655</v>
      </c>
      <c r="H42" s="499">
        <v>252</v>
      </c>
      <c r="I42" s="499" t="s">
        <v>17626</v>
      </c>
      <c r="J42" s="499" t="s">
        <v>17795</v>
      </c>
      <c r="K42" s="499" t="s">
        <v>17631</v>
      </c>
      <c r="L42" s="499">
        <v>5</v>
      </c>
      <c r="M42" s="499" t="s">
        <v>17790</v>
      </c>
      <c r="N42" s="499" t="s">
        <v>17791</v>
      </c>
      <c r="O42" s="529">
        <v>74</v>
      </c>
      <c r="P42" s="540" t="s">
        <v>17628</v>
      </c>
      <c r="Q42" s="504" t="str">
        <f t="shared" ref="Q42:Q58" si="3">CONCATENATE("2019",A42,P42,"INV")</f>
        <v>20190607190001INV</v>
      </c>
    </row>
    <row r="43" spans="1:17">
      <c r="A43" s="533" t="s">
        <v>17796</v>
      </c>
      <c r="B43" s="499" t="s">
        <v>17797</v>
      </c>
      <c r="C43" s="499" t="s">
        <v>17798</v>
      </c>
      <c r="D43" s="499" t="s">
        <v>17799</v>
      </c>
      <c r="E43" s="529">
        <v>73051</v>
      </c>
      <c r="F43" s="499">
        <v>6509627</v>
      </c>
      <c r="G43" s="499">
        <v>922870</v>
      </c>
      <c r="H43" s="499">
        <v>232</v>
      </c>
      <c r="I43" s="499" t="s">
        <v>17626</v>
      </c>
      <c r="J43" s="499" t="s">
        <v>17800</v>
      </c>
      <c r="K43" s="499" t="s">
        <v>17631</v>
      </c>
      <c r="L43" s="499">
        <v>5</v>
      </c>
      <c r="M43" s="499" t="s">
        <v>17801</v>
      </c>
      <c r="N43" s="499" t="s">
        <v>17802</v>
      </c>
      <c r="O43" s="529">
        <v>73</v>
      </c>
      <c r="P43" s="540" t="s">
        <v>17628</v>
      </c>
      <c r="Q43" s="504" t="str">
        <f>CONCATENATE("2019",A43,P43,"INV")</f>
        <v>20190607350001INV</v>
      </c>
    </row>
    <row r="44" spans="1:17">
      <c r="A44" s="533" t="s">
        <v>17803</v>
      </c>
      <c r="B44" s="499" t="s">
        <v>17804</v>
      </c>
      <c r="C44" s="499" t="s">
        <v>17805</v>
      </c>
      <c r="D44" s="499" t="s">
        <v>17806</v>
      </c>
      <c r="E44" s="537" t="s">
        <v>17807</v>
      </c>
      <c r="F44" s="499">
        <v>6530538</v>
      </c>
      <c r="G44" s="499">
        <v>898570</v>
      </c>
      <c r="H44" s="499">
        <v>341</v>
      </c>
      <c r="I44" s="499" t="s">
        <v>17629</v>
      </c>
      <c r="J44" s="499" t="s">
        <v>17808</v>
      </c>
      <c r="K44" s="499"/>
      <c r="L44" s="499">
        <v>5</v>
      </c>
      <c r="M44" s="499" t="s">
        <v>85</v>
      </c>
      <c r="N44" s="499" t="s">
        <v>17809</v>
      </c>
      <c r="O44" s="537" t="s">
        <v>17628</v>
      </c>
      <c r="P44" s="540" t="s">
        <v>17628</v>
      </c>
      <c r="Q44" s="504" t="str">
        <f t="shared" si="3"/>
        <v>20190607672001INV</v>
      </c>
    </row>
    <row r="45" spans="1:17">
      <c r="A45" s="533" t="s">
        <v>17810</v>
      </c>
      <c r="B45" s="499" t="s">
        <v>17804</v>
      </c>
      <c r="C45" s="499" t="s">
        <v>17811</v>
      </c>
      <c r="D45" s="499" t="s">
        <v>17812</v>
      </c>
      <c r="E45" s="537" t="s">
        <v>17813</v>
      </c>
      <c r="F45" s="499">
        <v>6515623</v>
      </c>
      <c r="G45" s="499">
        <v>908246</v>
      </c>
      <c r="H45" s="499">
        <v>221</v>
      </c>
      <c r="I45" s="499" t="s">
        <v>17626</v>
      </c>
      <c r="J45" s="499" t="s">
        <v>17814</v>
      </c>
      <c r="K45" s="499"/>
      <c r="L45" s="499">
        <v>5</v>
      </c>
      <c r="M45" s="499" t="s">
        <v>85</v>
      </c>
      <c r="N45" s="499" t="s">
        <v>17815</v>
      </c>
      <c r="O45" s="537" t="s">
        <v>17628</v>
      </c>
      <c r="P45" s="540" t="s">
        <v>17628</v>
      </c>
      <c r="Q45" s="504" t="str">
        <f t="shared" si="3"/>
        <v>20190607700001INV</v>
      </c>
    </row>
    <row r="46" spans="1:17">
      <c r="A46" s="533" t="s">
        <v>17816</v>
      </c>
      <c r="B46" s="499" t="s">
        <v>17817</v>
      </c>
      <c r="C46" s="499" t="s">
        <v>17818</v>
      </c>
      <c r="D46" s="499" t="s">
        <v>17819</v>
      </c>
      <c r="E46" s="537" t="s">
        <v>17820</v>
      </c>
      <c r="F46" s="499">
        <v>6441598</v>
      </c>
      <c r="G46" s="499">
        <v>839966</v>
      </c>
      <c r="H46" s="499"/>
      <c r="I46" s="499" t="s">
        <v>17626</v>
      </c>
      <c r="J46" s="499" t="s">
        <v>17821</v>
      </c>
      <c r="K46" s="499"/>
      <c r="L46" s="499">
        <v>8</v>
      </c>
      <c r="M46" s="499" t="s">
        <v>17822</v>
      </c>
      <c r="N46" s="499" t="s">
        <v>17823</v>
      </c>
      <c r="O46" s="537" t="s">
        <v>17627</v>
      </c>
      <c r="P46" s="540" t="s">
        <v>17628</v>
      </c>
      <c r="Q46" s="504" t="str">
        <f t="shared" si="3"/>
        <v>20190610603001INV</v>
      </c>
    </row>
    <row r="47" spans="1:17">
      <c r="A47" s="533" t="s">
        <v>17824</v>
      </c>
      <c r="B47" s="499" t="s">
        <v>17825</v>
      </c>
      <c r="C47" s="499" t="s">
        <v>17826</v>
      </c>
      <c r="D47" s="499" t="s">
        <v>17827</v>
      </c>
      <c r="E47" s="537" t="s">
        <v>17828</v>
      </c>
      <c r="F47" s="499">
        <v>6415522</v>
      </c>
      <c r="G47" s="499">
        <v>842183</v>
      </c>
      <c r="H47" s="499">
        <v>92</v>
      </c>
      <c r="I47" s="499" t="s">
        <v>17626</v>
      </c>
      <c r="J47" s="499" t="s">
        <v>17829</v>
      </c>
      <c r="K47" s="499"/>
      <c r="L47" s="499">
        <v>8</v>
      </c>
      <c r="M47" s="499" t="s">
        <v>17822</v>
      </c>
      <c r="N47" s="499" t="s">
        <v>17830</v>
      </c>
      <c r="O47" s="529"/>
      <c r="P47" s="540" t="s">
        <v>17628</v>
      </c>
      <c r="Q47" s="504" t="str">
        <f>CONCATENATE("2019",A47,P47,"INV")</f>
        <v>20190610790001INV</v>
      </c>
    </row>
    <row r="48" spans="1:17">
      <c r="A48" s="533" t="s">
        <v>17831</v>
      </c>
      <c r="B48" s="499" t="s">
        <v>17727</v>
      </c>
      <c r="C48" s="499" t="s">
        <v>17832</v>
      </c>
      <c r="D48" s="499" t="s">
        <v>17833</v>
      </c>
      <c r="E48" s="537" t="s">
        <v>17834</v>
      </c>
      <c r="F48" s="499">
        <v>6384580</v>
      </c>
      <c r="G48" s="499">
        <v>811947</v>
      </c>
      <c r="H48" s="499">
        <v>145</v>
      </c>
      <c r="I48" s="499" t="s">
        <v>17626</v>
      </c>
      <c r="J48" s="499" t="s">
        <v>17835</v>
      </c>
      <c r="K48" s="499"/>
      <c r="L48" s="499">
        <v>6</v>
      </c>
      <c r="M48" s="499" t="s">
        <v>17731</v>
      </c>
      <c r="N48" s="499" t="s">
        <v>17836</v>
      </c>
      <c r="O48" s="529"/>
      <c r="P48" s="540" t="s">
        <v>17628</v>
      </c>
      <c r="Q48" s="504" t="str">
        <f t="shared" si="3"/>
        <v>20190611445001INV</v>
      </c>
    </row>
    <row r="49" spans="1:17">
      <c r="A49" s="533" t="s">
        <v>17837</v>
      </c>
      <c r="B49" s="499" t="s">
        <v>17838</v>
      </c>
      <c r="C49" s="499" t="s">
        <v>17839</v>
      </c>
      <c r="D49" s="499" t="s">
        <v>17840</v>
      </c>
      <c r="E49" s="537" t="s">
        <v>17841</v>
      </c>
      <c r="F49" s="499">
        <v>6389526</v>
      </c>
      <c r="G49" s="499">
        <v>777997</v>
      </c>
      <c r="H49" s="499">
        <v>708</v>
      </c>
      <c r="I49" s="499" t="s">
        <v>17629</v>
      </c>
      <c r="J49" s="499" t="s">
        <v>17842</v>
      </c>
      <c r="K49" s="499"/>
      <c r="L49" s="499">
        <v>8</v>
      </c>
      <c r="M49" s="499" t="s">
        <v>17822</v>
      </c>
      <c r="N49" s="499" t="s">
        <v>17843</v>
      </c>
      <c r="O49" s="529"/>
      <c r="P49" s="540" t="s">
        <v>17628</v>
      </c>
      <c r="Q49" s="504" t="str">
        <f t="shared" si="3"/>
        <v>20190611480001INV</v>
      </c>
    </row>
    <row r="50" spans="1:17">
      <c r="A50" s="533" t="s">
        <v>17844</v>
      </c>
      <c r="B50" s="499" t="s">
        <v>17845</v>
      </c>
      <c r="C50" s="499" t="s">
        <v>17846</v>
      </c>
      <c r="D50" s="499" t="s">
        <v>17847</v>
      </c>
      <c r="E50" s="529">
        <v>73315</v>
      </c>
      <c r="F50" s="499">
        <v>6492715</v>
      </c>
      <c r="G50" s="499">
        <v>946065</v>
      </c>
      <c r="H50" s="499">
        <v>303</v>
      </c>
      <c r="I50" s="499" t="s">
        <v>17626</v>
      </c>
      <c r="J50" s="499" t="s">
        <v>17848</v>
      </c>
      <c r="K50" s="499"/>
      <c r="L50" s="499">
        <v>2</v>
      </c>
      <c r="M50" s="499" t="s">
        <v>17748</v>
      </c>
      <c r="N50" s="499" t="s">
        <v>17849</v>
      </c>
      <c r="O50" s="529"/>
      <c r="P50" s="540" t="s">
        <v>17628</v>
      </c>
      <c r="Q50" s="504" t="str">
        <f t="shared" si="3"/>
        <v>20190613981501INV</v>
      </c>
    </row>
    <row r="51" spans="1:17">
      <c r="A51" s="533" t="s">
        <v>17850</v>
      </c>
      <c r="B51" s="499" t="s">
        <v>17851</v>
      </c>
      <c r="C51" s="499" t="s">
        <v>17852</v>
      </c>
      <c r="D51" s="499" t="s">
        <v>17853</v>
      </c>
      <c r="E51" s="529">
        <v>38153</v>
      </c>
      <c r="F51" s="499">
        <v>6453933</v>
      </c>
      <c r="G51" s="499">
        <v>904779</v>
      </c>
      <c r="H51" s="499">
        <v>902</v>
      </c>
      <c r="I51" s="499" t="s">
        <v>17629</v>
      </c>
      <c r="J51" s="499" t="s">
        <v>17854</v>
      </c>
      <c r="K51" s="499"/>
      <c r="L51" s="499">
        <v>5</v>
      </c>
      <c r="M51" s="499" t="s">
        <v>17855</v>
      </c>
      <c r="N51" s="499" t="s">
        <v>17856</v>
      </c>
      <c r="O51" s="529"/>
      <c r="P51" s="540" t="s">
        <v>17628</v>
      </c>
      <c r="Q51" s="504" t="str">
        <f t="shared" si="3"/>
        <v>20190614666001INV</v>
      </c>
    </row>
    <row r="52" spans="1:17">
      <c r="A52" s="533" t="s">
        <v>17857</v>
      </c>
      <c r="B52" s="499" t="s">
        <v>17858</v>
      </c>
      <c r="C52" s="499" t="s">
        <v>17859</v>
      </c>
      <c r="D52" s="499" t="s">
        <v>17860</v>
      </c>
      <c r="E52" s="529">
        <v>38548</v>
      </c>
      <c r="F52" s="499">
        <v>6446161</v>
      </c>
      <c r="G52" s="499">
        <v>898461</v>
      </c>
      <c r="H52" s="499">
        <v>929</v>
      </c>
      <c r="I52" s="499" t="s">
        <v>17631</v>
      </c>
      <c r="J52" s="499" t="s">
        <v>17861</v>
      </c>
      <c r="K52" s="499"/>
      <c r="L52" s="499">
        <v>5</v>
      </c>
      <c r="M52" s="499" t="s">
        <v>85</v>
      </c>
      <c r="N52" s="499" t="s">
        <v>17862</v>
      </c>
      <c r="O52" s="529"/>
      <c r="P52" s="540" t="s">
        <v>17628</v>
      </c>
      <c r="Q52" s="504" t="str">
        <f t="shared" si="3"/>
        <v>20190614721001INV</v>
      </c>
    </row>
    <row r="53" spans="1:17">
      <c r="A53" s="533" t="s">
        <v>17863</v>
      </c>
      <c r="B53" s="499" t="s">
        <v>17864</v>
      </c>
      <c r="C53" s="499" t="s">
        <v>17865</v>
      </c>
      <c r="D53" s="499" t="s">
        <v>17866</v>
      </c>
      <c r="E53" s="529">
        <v>38108</v>
      </c>
      <c r="F53" s="499">
        <v>6443516</v>
      </c>
      <c r="G53" s="499">
        <v>888285</v>
      </c>
      <c r="H53" s="499">
        <v>258</v>
      </c>
      <c r="I53" s="499" t="s">
        <v>17626</v>
      </c>
      <c r="J53" s="499" t="s">
        <v>17867</v>
      </c>
      <c r="K53" s="499"/>
      <c r="L53" s="499">
        <v>5</v>
      </c>
      <c r="M53" s="499" t="s">
        <v>17801</v>
      </c>
      <c r="N53" s="499" t="s">
        <v>17868</v>
      </c>
      <c r="O53" s="529"/>
      <c r="P53" s="540" t="s">
        <v>17628</v>
      </c>
      <c r="Q53" s="504" t="str">
        <f t="shared" si="3"/>
        <v>20190614784001INV</v>
      </c>
    </row>
    <row r="54" spans="1:17">
      <c r="A54" s="533" t="s">
        <v>17869</v>
      </c>
      <c r="B54" s="499" t="s">
        <v>17870</v>
      </c>
      <c r="C54" s="499" t="s">
        <v>17871</v>
      </c>
      <c r="D54" s="499" t="s">
        <v>17872</v>
      </c>
      <c r="E54" s="529">
        <v>26249</v>
      </c>
      <c r="F54" s="499">
        <v>6391079</v>
      </c>
      <c r="G54" s="499">
        <v>857860</v>
      </c>
      <c r="H54" s="499">
        <v>219</v>
      </c>
      <c r="I54" s="499" t="s">
        <v>17626</v>
      </c>
      <c r="J54" s="499" t="s">
        <v>17873</v>
      </c>
      <c r="K54" s="499"/>
      <c r="L54" s="499">
        <v>7</v>
      </c>
      <c r="M54" s="499" t="s">
        <v>17874</v>
      </c>
      <c r="N54" s="499" t="s">
        <v>17875</v>
      </c>
      <c r="O54" s="529"/>
      <c r="P54" s="540" t="s">
        <v>17628</v>
      </c>
      <c r="Q54" s="504" t="str">
        <f t="shared" si="3"/>
        <v>20190630004601INV</v>
      </c>
    </row>
    <row r="55" spans="1:17">
      <c r="A55" s="533" t="s">
        <v>17876</v>
      </c>
      <c r="B55" s="499" t="s">
        <v>17877</v>
      </c>
      <c r="C55" s="499" t="s">
        <v>17878</v>
      </c>
      <c r="D55" s="499" t="s">
        <v>17879</v>
      </c>
      <c r="E55" s="537" t="s">
        <v>17880</v>
      </c>
      <c r="F55" s="499">
        <v>6556172</v>
      </c>
      <c r="G55" s="499">
        <v>880849</v>
      </c>
      <c r="H55" s="499">
        <v>244</v>
      </c>
      <c r="I55" s="499" t="s">
        <v>17626</v>
      </c>
      <c r="J55" s="499" t="s">
        <v>17881</v>
      </c>
      <c r="K55" s="499"/>
      <c r="L55" s="499">
        <v>5</v>
      </c>
      <c r="M55" s="499" t="s">
        <v>17801</v>
      </c>
      <c r="N55" s="499" t="s">
        <v>17882</v>
      </c>
      <c r="O55" s="529"/>
      <c r="P55" s="540" t="s">
        <v>17628</v>
      </c>
      <c r="Q55" s="504" t="str">
        <f t="shared" si="3"/>
        <v>20190658065301INV</v>
      </c>
    </row>
    <row r="56" spans="1:17">
      <c r="A56" s="533" t="s">
        <v>17883</v>
      </c>
      <c r="B56" s="499" t="s">
        <v>17884</v>
      </c>
      <c r="C56" s="499" t="s">
        <v>17885</v>
      </c>
      <c r="D56" s="499" t="s">
        <v>17853</v>
      </c>
      <c r="E56" s="529">
        <v>38153</v>
      </c>
      <c r="F56" s="499">
        <v>6454953</v>
      </c>
      <c r="G56" s="499">
        <v>905027</v>
      </c>
      <c r="H56" s="499">
        <v>877</v>
      </c>
      <c r="I56" s="499" t="s">
        <v>17626</v>
      </c>
      <c r="J56" s="499" t="s">
        <v>17886</v>
      </c>
      <c r="K56" s="499"/>
      <c r="L56" s="499">
        <v>5</v>
      </c>
      <c r="M56" s="499" t="s">
        <v>85</v>
      </c>
      <c r="N56" s="499" t="s">
        <v>17887</v>
      </c>
      <c r="O56" s="529"/>
      <c r="P56" s="540" t="s">
        <v>17628</v>
      </c>
      <c r="Q56" s="504" t="str">
        <f t="shared" si="3"/>
        <v>20190658083901INV</v>
      </c>
    </row>
    <row r="57" spans="1:17">
      <c r="A57" s="533" t="s">
        <v>17888</v>
      </c>
      <c r="B57" s="499" t="s">
        <v>17889</v>
      </c>
      <c r="C57" s="499" t="s">
        <v>17890</v>
      </c>
      <c r="D57" s="499" t="s">
        <v>17891</v>
      </c>
      <c r="E57" s="537" t="s">
        <v>17892</v>
      </c>
      <c r="F57" s="499">
        <v>6574390</v>
      </c>
      <c r="G57" s="499">
        <v>932199</v>
      </c>
      <c r="H57" s="499">
        <v>419</v>
      </c>
      <c r="I57" s="499" t="s">
        <v>17626</v>
      </c>
      <c r="J57" s="499" t="s">
        <v>17893</v>
      </c>
      <c r="K57" s="499" t="s">
        <v>17631</v>
      </c>
      <c r="L57" s="499">
        <v>5</v>
      </c>
      <c r="M57" s="499" t="s">
        <v>85</v>
      </c>
      <c r="N57" s="499" t="s">
        <v>17894</v>
      </c>
      <c r="O57" s="529"/>
      <c r="P57" s="540" t="s">
        <v>17628</v>
      </c>
      <c r="Q57" s="504" t="str">
        <f t="shared" si="3"/>
        <v>20190699910701INV</v>
      </c>
    </row>
    <row r="58" spans="1:17">
      <c r="A58" s="533" t="s">
        <v>17895</v>
      </c>
      <c r="B58" s="499" t="s">
        <v>17896</v>
      </c>
      <c r="C58" s="499" t="s">
        <v>17897</v>
      </c>
      <c r="D58" s="499" t="s">
        <v>17898</v>
      </c>
      <c r="E58" s="537" t="s">
        <v>17899</v>
      </c>
      <c r="F58" s="499">
        <v>6538264</v>
      </c>
      <c r="G58" s="499">
        <v>906897</v>
      </c>
      <c r="H58" s="499">
        <v>456</v>
      </c>
      <c r="I58" s="499" t="s">
        <v>17626</v>
      </c>
      <c r="J58" s="499" t="s">
        <v>17900</v>
      </c>
      <c r="K58" s="499"/>
      <c r="L58" s="499">
        <v>5</v>
      </c>
      <c r="M58" s="499" t="s">
        <v>17801</v>
      </c>
      <c r="N58" s="499" t="s">
        <v>17901</v>
      </c>
      <c r="O58" s="529"/>
      <c r="P58" s="540" t="s">
        <v>17628</v>
      </c>
      <c r="Q58" s="504" t="str">
        <f t="shared" si="3"/>
        <v>20190607642001INV</v>
      </c>
    </row>
    <row r="59" spans="1:17">
      <c r="A59" s="541" t="s">
        <v>18239</v>
      </c>
      <c r="B59" s="542" t="s">
        <v>18273</v>
      </c>
      <c r="C59" s="542" t="s">
        <v>18240</v>
      </c>
      <c r="D59" s="542" t="s">
        <v>18274</v>
      </c>
      <c r="E59" s="537" t="s">
        <v>18722</v>
      </c>
      <c r="F59" s="499">
        <v>6576593</v>
      </c>
      <c r="G59" s="499">
        <v>843145</v>
      </c>
      <c r="H59" s="499">
        <v>172</v>
      </c>
      <c r="I59" s="499" t="s">
        <v>17626</v>
      </c>
      <c r="J59" s="499" t="s">
        <v>18322</v>
      </c>
      <c r="K59" s="499" t="s">
        <v>17626</v>
      </c>
      <c r="L59" s="499">
        <v>15</v>
      </c>
      <c r="M59" s="499" t="s">
        <v>18323</v>
      </c>
      <c r="N59" s="499" t="s">
        <v>18308</v>
      </c>
      <c r="O59" s="529">
        <v>1</v>
      </c>
      <c r="P59" s="540" t="s">
        <v>17628</v>
      </c>
      <c r="Q59" s="504" t="str">
        <f t="shared" ref="Q59:Q75" si="4">CONCATENATE("2020",A59,P59,"INV")</f>
        <v>20200604900001INV</v>
      </c>
    </row>
    <row r="60" spans="1:17">
      <c r="A60" s="541" t="s">
        <v>18241</v>
      </c>
      <c r="B60" s="542" t="s">
        <v>18275</v>
      </c>
      <c r="C60" s="542" t="s">
        <v>18242</v>
      </c>
      <c r="D60" s="542" t="s">
        <v>18278</v>
      </c>
      <c r="E60" s="529">
        <v>69175</v>
      </c>
      <c r="F60" s="499">
        <v>6527692</v>
      </c>
      <c r="G60" s="499">
        <v>824332</v>
      </c>
      <c r="H60" s="499">
        <v>254</v>
      </c>
      <c r="I60" s="499" t="s">
        <v>17626</v>
      </c>
      <c r="J60" s="499" t="s">
        <v>18324</v>
      </c>
      <c r="K60" s="499" t="s">
        <v>17631</v>
      </c>
      <c r="L60" s="499">
        <v>3</v>
      </c>
      <c r="M60" s="499" t="s">
        <v>17630</v>
      </c>
      <c r="N60" s="499" t="s">
        <v>18309</v>
      </c>
      <c r="O60" s="529">
        <v>69</v>
      </c>
      <c r="P60" s="540" t="s">
        <v>17628</v>
      </c>
      <c r="Q60" s="504" t="str">
        <f t="shared" si="4"/>
        <v>20200605720001INV</v>
      </c>
    </row>
    <row r="61" spans="1:17">
      <c r="A61" s="541" t="s">
        <v>18243</v>
      </c>
      <c r="B61" s="542" t="s">
        <v>18276</v>
      </c>
      <c r="C61" s="542" t="s">
        <v>18244</v>
      </c>
      <c r="D61" s="542" t="s">
        <v>18277</v>
      </c>
      <c r="E61" s="529">
        <v>69122</v>
      </c>
      <c r="F61" s="499">
        <v>6536149</v>
      </c>
      <c r="G61" s="499">
        <v>833762</v>
      </c>
      <c r="H61" s="499">
        <v>174</v>
      </c>
      <c r="I61" s="499" t="s">
        <v>17626</v>
      </c>
      <c r="J61" s="499" t="s">
        <v>18325</v>
      </c>
      <c r="K61" s="499" t="s">
        <v>17631</v>
      </c>
      <c r="L61" s="499">
        <v>15</v>
      </c>
      <c r="M61" s="499" t="s">
        <v>17633</v>
      </c>
      <c r="N61" s="499" t="s">
        <v>18310</v>
      </c>
      <c r="O61" s="529">
        <v>69</v>
      </c>
      <c r="P61" s="540" t="s">
        <v>17628</v>
      </c>
      <c r="Q61" s="504" t="str">
        <f t="shared" si="4"/>
        <v>20200605770001INV</v>
      </c>
    </row>
    <row r="62" spans="1:17">
      <c r="A62" s="541" t="s">
        <v>18245</v>
      </c>
      <c r="B62" s="542" t="s">
        <v>18279</v>
      </c>
      <c r="C62" s="542" t="s">
        <v>18246</v>
      </c>
      <c r="D62" s="542" t="s">
        <v>18294</v>
      </c>
      <c r="E62" s="529">
        <v>74276</v>
      </c>
      <c r="F62" s="499">
        <v>6568535</v>
      </c>
      <c r="G62" s="499">
        <v>979128</v>
      </c>
      <c r="H62" s="499">
        <v>1199</v>
      </c>
      <c r="I62" s="499" t="s">
        <v>17629</v>
      </c>
      <c r="J62" s="499" t="s">
        <v>18303</v>
      </c>
      <c r="K62" s="499" t="s">
        <v>17626</v>
      </c>
      <c r="L62" s="499">
        <v>5</v>
      </c>
      <c r="M62" s="499" t="s">
        <v>17801</v>
      </c>
      <c r="N62" s="499" t="s">
        <v>18304</v>
      </c>
      <c r="O62" s="529">
        <v>74</v>
      </c>
      <c r="P62" s="540" t="s">
        <v>17628</v>
      </c>
      <c r="Q62" s="504" t="str">
        <f t="shared" si="4"/>
        <v>20200606240001INV</v>
      </c>
    </row>
    <row r="63" spans="1:17">
      <c r="A63" s="541" t="s">
        <v>18247</v>
      </c>
      <c r="B63" s="542" t="s">
        <v>18280</v>
      </c>
      <c r="C63" s="542" t="s">
        <v>18248</v>
      </c>
      <c r="D63" s="542" t="s">
        <v>18281</v>
      </c>
      <c r="E63" s="537" t="s">
        <v>18721</v>
      </c>
      <c r="F63" s="499">
        <v>6575410</v>
      </c>
      <c r="G63" s="499">
        <v>915417</v>
      </c>
      <c r="H63" s="499">
        <v>717</v>
      </c>
      <c r="I63" s="499" t="s">
        <v>17629</v>
      </c>
      <c r="J63" s="499" t="s">
        <v>18326</v>
      </c>
      <c r="K63" s="499" t="s">
        <v>17626</v>
      </c>
      <c r="L63" s="499">
        <v>5</v>
      </c>
      <c r="M63" s="499" t="s">
        <v>85</v>
      </c>
      <c r="N63" s="499" t="s">
        <v>18311</v>
      </c>
      <c r="O63" s="529">
        <v>1</v>
      </c>
      <c r="P63" s="540" t="s">
        <v>17628</v>
      </c>
      <c r="Q63" s="504" t="str">
        <f t="shared" si="4"/>
        <v>20200606776001INV</v>
      </c>
    </row>
    <row r="64" spans="1:17">
      <c r="A64" s="541" t="s">
        <v>18249</v>
      </c>
      <c r="B64" s="542" t="s">
        <v>18282</v>
      </c>
      <c r="C64" s="542" t="s">
        <v>18250</v>
      </c>
      <c r="D64" s="542" t="s">
        <v>18295</v>
      </c>
      <c r="E64" s="529">
        <v>39274</v>
      </c>
      <c r="F64" s="499">
        <v>6593038</v>
      </c>
      <c r="G64" s="499">
        <v>933497</v>
      </c>
      <c r="H64" s="499">
        <v>1050</v>
      </c>
      <c r="I64" s="499" t="s">
        <v>17629</v>
      </c>
      <c r="J64" s="499" t="s">
        <v>18327</v>
      </c>
      <c r="K64" s="499"/>
      <c r="L64" s="499">
        <v>5</v>
      </c>
      <c r="M64" s="499" t="s">
        <v>85</v>
      </c>
      <c r="N64" s="499" t="s">
        <v>18312</v>
      </c>
      <c r="O64" s="529">
        <v>39</v>
      </c>
      <c r="P64" s="540" t="s">
        <v>17628</v>
      </c>
      <c r="Q64" s="504" t="str">
        <f t="shared" si="4"/>
        <v>20200606780201INV</v>
      </c>
    </row>
    <row r="65" spans="1:17">
      <c r="A65" s="541" t="s">
        <v>18251</v>
      </c>
      <c r="B65" s="542" t="s">
        <v>18283</v>
      </c>
      <c r="C65" s="542" t="s">
        <v>18252</v>
      </c>
      <c r="D65" s="542" t="s">
        <v>18284</v>
      </c>
      <c r="E65" s="529">
        <v>38147</v>
      </c>
      <c r="F65" s="499">
        <v>6492254</v>
      </c>
      <c r="G65" s="499">
        <v>888294</v>
      </c>
      <c r="H65" s="499">
        <v>441</v>
      </c>
      <c r="I65" s="499" t="s">
        <v>17631</v>
      </c>
      <c r="J65" s="499" t="s">
        <v>18328</v>
      </c>
      <c r="K65" s="499"/>
      <c r="L65" s="499">
        <v>5</v>
      </c>
      <c r="M65" s="499" t="s">
        <v>85</v>
      </c>
      <c r="N65" s="499" t="s">
        <v>18313</v>
      </c>
      <c r="O65" s="529">
        <v>38</v>
      </c>
      <c r="P65" s="540" t="s">
        <v>17628</v>
      </c>
      <c r="Q65" s="504" t="str">
        <f t="shared" si="4"/>
        <v>20200608097601INV</v>
      </c>
    </row>
    <row r="66" spans="1:17">
      <c r="A66" s="541" t="s">
        <v>18253</v>
      </c>
      <c r="B66" s="542" t="s">
        <v>18283</v>
      </c>
      <c r="C66" s="542" t="s">
        <v>18254</v>
      </c>
      <c r="D66" s="542" t="s">
        <v>18285</v>
      </c>
      <c r="E66" s="529">
        <v>38064</v>
      </c>
      <c r="F66" s="499">
        <v>6498688</v>
      </c>
      <c r="G66" s="499">
        <v>884778</v>
      </c>
      <c r="H66" s="499">
        <v>304</v>
      </c>
      <c r="I66" s="499" t="s">
        <v>17631</v>
      </c>
      <c r="J66" s="499" t="s">
        <v>18329</v>
      </c>
      <c r="K66" s="499"/>
      <c r="L66" s="499">
        <v>5</v>
      </c>
      <c r="M66" s="499" t="s">
        <v>85</v>
      </c>
      <c r="N66" s="499" t="s">
        <v>18314</v>
      </c>
      <c r="O66" s="529">
        <v>38</v>
      </c>
      <c r="P66" s="540" t="s">
        <v>17628</v>
      </c>
      <c r="Q66" s="504" t="str">
        <f t="shared" si="4"/>
        <v>20200608097801INV</v>
      </c>
    </row>
    <row r="67" spans="1:17">
      <c r="A67" s="541" t="s">
        <v>18255</v>
      </c>
      <c r="B67" s="542" t="s">
        <v>17699</v>
      </c>
      <c r="C67" s="542" t="s">
        <v>18256</v>
      </c>
      <c r="D67" s="542" t="s">
        <v>18293</v>
      </c>
      <c r="E67" s="537" t="s">
        <v>18720</v>
      </c>
      <c r="F67" s="499">
        <v>6453856</v>
      </c>
      <c r="G67" s="499">
        <v>817898</v>
      </c>
      <c r="H67" s="499">
        <v>647</v>
      </c>
      <c r="I67" s="499" t="s">
        <v>17629</v>
      </c>
      <c r="J67" s="499" t="s">
        <v>18330</v>
      </c>
      <c r="K67" s="499"/>
      <c r="L67" s="499">
        <v>3</v>
      </c>
      <c r="M67" s="499" t="s">
        <v>17630</v>
      </c>
      <c r="N67" s="499" t="s">
        <v>18315</v>
      </c>
      <c r="O67" s="529">
        <v>7</v>
      </c>
      <c r="P67" s="540" t="s">
        <v>17628</v>
      </c>
      <c r="Q67" s="504" t="str">
        <f t="shared" si="4"/>
        <v>20200610190501INV</v>
      </c>
    </row>
    <row r="68" spans="1:17">
      <c r="A68" s="541" t="s">
        <v>18257</v>
      </c>
      <c r="B68" s="542" t="s">
        <v>18236</v>
      </c>
      <c r="C68" s="542" t="s">
        <v>18258</v>
      </c>
      <c r="D68" s="542" t="s">
        <v>18286</v>
      </c>
      <c r="E68" s="537" t="s">
        <v>18719</v>
      </c>
      <c r="F68" s="499">
        <v>6392956</v>
      </c>
      <c r="G68" s="499">
        <v>792010</v>
      </c>
      <c r="H68" s="499">
        <v>656</v>
      </c>
      <c r="I68" s="499" t="s">
        <v>17629</v>
      </c>
      <c r="J68" s="499" t="s">
        <v>18331</v>
      </c>
      <c r="K68" s="499" t="s">
        <v>17626</v>
      </c>
      <c r="L68" s="499">
        <v>8</v>
      </c>
      <c r="M68" s="499" t="s">
        <v>17770</v>
      </c>
      <c r="N68" s="499" t="s">
        <v>18316</v>
      </c>
      <c r="O68" s="529">
        <v>7</v>
      </c>
      <c r="P68" s="540" t="s">
        <v>17628</v>
      </c>
      <c r="Q68" s="504" t="str">
        <f t="shared" si="4"/>
        <v>20200611415501INV</v>
      </c>
    </row>
    <row r="69" spans="1:17">
      <c r="A69" s="541" t="s">
        <v>18259</v>
      </c>
      <c r="B69" s="542" t="s">
        <v>18287</v>
      </c>
      <c r="C69" s="542" t="s">
        <v>18260</v>
      </c>
      <c r="D69" s="542" t="s">
        <v>18296</v>
      </c>
      <c r="E69" s="529">
        <v>73071</v>
      </c>
      <c r="F69" s="499">
        <v>6491162</v>
      </c>
      <c r="G69" s="499">
        <v>992761</v>
      </c>
      <c r="H69" s="499">
        <v>1474</v>
      </c>
      <c r="I69" s="499" t="s">
        <v>17629</v>
      </c>
      <c r="J69" s="499" t="s">
        <v>18306</v>
      </c>
      <c r="K69" s="499"/>
      <c r="L69" s="499">
        <v>2</v>
      </c>
      <c r="M69" s="499" t="s">
        <v>17676</v>
      </c>
      <c r="N69" s="499" t="s">
        <v>18305</v>
      </c>
      <c r="O69" s="529">
        <v>73</v>
      </c>
      <c r="P69" s="540" t="s">
        <v>17628</v>
      </c>
      <c r="Q69" s="504" t="str">
        <f t="shared" si="4"/>
        <v>20200613333001INV</v>
      </c>
    </row>
    <row r="70" spans="1:17">
      <c r="A70" s="541" t="s">
        <v>18261</v>
      </c>
      <c r="B70" s="542" t="s">
        <v>18288</v>
      </c>
      <c r="C70" s="542" t="s">
        <v>18262</v>
      </c>
      <c r="D70" s="542" t="s">
        <v>18297</v>
      </c>
      <c r="E70" s="529">
        <v>38517</v>
      </c>
      <c r="F70" s="499">
        <v>6469160</v>
      </c>
      <c r="G70" s="499">
        <v>897651</v>
      </c>
      <c r="H70" s="499">
        <v>183</v>
      </c>
      <c r="I70" s="499" t="s">
        <v>17626</v>
      </c>
      <c r="J70" s="499" t="s">
        <v>18332</v>
      </c>
      <c r="K70" s="499" t="s">
        <v>17631</v>
      </c>
      <c r="L70" s="499">
        <v>5</v>
      </c>
      <c r="M70" s="499" t="s">
        <v>85</v>
      </c>
      <c r="N70" s="499" t="s">
        <v>18317</v>
      </c>
      <c r="O70" s="529">
        <v>38</v>
      </c>
      <c r="P70" s="540" t="s">
        <v>17628</v>
      </c>
      <c r="Q70" s="504" t="str">
        <f t="shared" si="4"/>
        <v>20200614714001INV</v>
      </c>
    </row>
    <row r="71" spans="1:17">
      <c r="A71" s="541" t="s">
        <v>18263</v>
      </c>
      <c r="B71" s="542" t="s">
        <v>18289</v>
      </c>
      <c r="C71" s="542" t="s">
        <v>18264</v>
      </c>
      <c r="D71" s="542" t="s">
        <v>18298</v>
      </c>
      <c r="E71" s="529">
        <v>38416</v>
      </c>
      <c r="F71" s="499">
        <v>6450767</v>
      </c>
      <c r="G71" s="499">
        <v>882876</v>
      </c>
      <c r="H71" s="499">
        <v>192</v>
      </c>
      <c r="I71" s="499" t="s">
        <v>17631</v>
      </c>
      <c r="J71" s="499" t="s">
        <v>18333</v>
      </c>
      <c r="K71" s="499"/>
      <c r="L71" s="499">
        <v>5</v>
      </c>
      <c r="M71" s="499" t="s">
        <v>85</v>
      </c>
      <c r="N71" s="499" t="s">
        <v>18318</v>
      </c>
      <c r="O71" s="529">
        <v>38</v>
      </c>
      <c r="P71" s="540" t="s">
        <v>17628</v>
      </c>
      <c r="Q71" s="504" t="str">
        <f t="shared" si="4"/>
        <v>20200614765501INV</v>
      </c>
    </row>
    <row r="72" spans="1:17">
      <c r="A72" s="541" t="s">
        <v>18265</v>
      </c>
      <c r="B72" s="542" t="s">
        <v>18290</v>
      </c>
      <c r="C72" s="542" t="s">
        <v>18266</v>
      </c>
      <c r="D72" s="542" t="s">
        <v>18299</v>
      </c>
      <c r="E72" s="529">
        <v>26183</v>
      </c>
      <c r="F72" s="499">
        <v>6404616</v>
      </c>
      <c r="G72" s="499">
        <v>865926</v>
      </c>
      <c r="H72" s="499">
        <v>228</v>
      </c>
      <c r="I72" s="499" t="s">
        <v>17631</v>
      </c>
      <c r="J72" s="499" t="s">
        <v>18334</v>
      </c>
      <c r="K72" s="499"/>
      <c r="L72" s="499">
        <v>7</v>
      </c>
      <c r="M72" s="499" t="s">
        <v>17874</v>
      </c>
      <c r="N72" s="499" t="s">
        <v>18319</v>
      </c>
      <c r="O72" s="529">
        <v>26</v>
      </c>
      <c r="P72" s="540" t="s">
        <v>17628</v>
      </c>
      <c r="Q72" s="504" t="str">
        <f t="shared" si="4"/>
        <v>20200658000101INV</v>
      </c>
    </row>
    <row r="73" spans="1:17">
      <c r="A73" s="541" t="s">
        <v>18267</v>
      </c>
      <c r="B73" s="542" t="s">
        <v>17870</v>
      </c>
      <c r="C73" s="542" t="s">
        <v>18268</v>
      </c>
      <c r="D73" s="542" t="s">
        <v>18300</v>
      </c>
      <c r="E73" s="529">
        <v>26198</v>
      </c>
      <c r="F73" s="543">
        <v>6385233</v>
      </c>
      <c r="G73" s="543">
        <v>838933</v>
      </c>
      <c r="H73" s="543">
        <v>78</v>
      </c>
      <c r="I73" s="499" t="s">
        <v>17626</v>
      </c>
      <c r="J73" s="543" t="s">
        <v>18336</v>
      </c>
      <c r="K73" s="499" t="s">
        <v>17631</v>
      </c>
      <c r="L73" s="499">
        <v>6</v>
      </c>
      <c r="M73" s="544" t="s">
        <v>17724</v>
      </c>
      <c r="N73" s="499" t="s">
        <v>18320</v>
      </c>
      <c r="O73" s="529">
        <v>26</v>
      </c>
      <c r="P73" s="540" t="s">
        <v>17628</v>
      </c>
      <c r="Q73" s="504" t="str">
        <f t="shared" si="4"/>
        <v>20200658031601INV</v>
      </c>
    </row>
    <row r="74" spans="1:17">
      <c r="A74" s="541" t="s">
        <v>18269</v>
      </c>
      <c r="B74" s="542" t="s">
        <v>18291</v>
      </c>
      <c r="C74" s="542" t="s">
        <v>18270</v>
      </c>
      <c r="D74" s="542" t="s">
        <v>18301</v>
      </c>
      <c r="E74" s="529">
        <v>26295</v>
      </c>
      <c r="F74" s="499">
        <v>6455106</v>
      </c>
      <c r="G74" s="499">
        <v>845147</v>
      </c>
      <c r="H74" s="499">
        <v>161</v>
      </c>
      <c r="I74" s="499" t="s">
        <v>17626</v>
      </c>
      <c r="J74" s="499" t="s">
        <v>18335</v>
      </c>
      <c r="K74" s="499"/>
      <c r="L74" s="499">
        <v>5</v>
      </c>
      <c r="M74" s="544" t="s">
        <v>17801</v>
      </c>
      <c r="N74" s="499" t="s">
        <v>18321</v>
      </c>
      <c r="O74" s="529">
        <v>26</v>
      </c>
      <c r="P74" s="540" t="s">
        <v>17628</v>
      </c>
      <c r="Q74" s="504" t="str">
        <f t="shared" si="4"/>
        <v>20200658034101INV</v>
      </c>
    </row>
    <row r="75" spans="1:17">
      <c r="A75" s="541" t="s">
        <v>18271</v>
      </c>
      <c r="B75" s="542" t="s">
        <v>18292</v>
      </c>
      <c r="C75" s="542" t="s">
        <v>18272</v>
      </c>
      <c r="D75" s="542" t="s">
        <v>18302</v>
      </c>
      <c r="E75" s="529">
        <v>26065</v>
      </c>
      <c r="F75" s="499">
        <v>6405722</v>
      </c>
      <c r="G75" s="499">
        <v>855548</v>
      </c>
      <c r="H75" s="499">
        <v>158</v>
      </c>
      <c r="I75" s="499" t="s">
        <v>17629</v>
      </c>
      <c r="J75" s="499" t="s">
        <v>18337</v>
      </c>
      <c r="K75" s="499"/>
      <c r="L75" s="499">
        <v>6</v>
      </c>
      <c r="M75" s="499" t="s">
        <v>17716</v>
      </c>
      <c r="N75" s="499" t="s">
        <v>17717</v>
      </c>
      <c r="O75" s="529">
        <v>26</v>
      </c>
      <c r="P75" s="540" t="s">
        <v>17628</v>
      </c>
      <c r="Q75" s="504" t="str">
        <f t="shared" si="4"/>
        <v>20200658043701INV</v>
      </c>
    </row>
    <row r="76" spans="1:17">
      <c r="A76" s="539" t="s">
        <v>18442</v>
      </c>
      <c r="B76" s="499" t="s">
        <v>18481</v>
      </c>
      <c r="C76" s="499" t="s">
        <v>18515</v>
      </c>
      <c r="D76" s="499" t="s">
        <v>18482</v>
      </c>
      <c r="E76" s="537" t="s">
        <v>18712</v>
      </c>
      <c r="F76" s="499">
        <v>6540654</v>
      </c>
      <c r="G76" s="499">
        <v>896133</v>
      </c>
      <c r="H76" s="499">
        <v>396</v>
      </c>
      <c r="I76" s="499" t="s">
        <v>17629</v>
      </c>
      <c r="J76" s="499" t="s">
        <v>18535</v>
      </c>
      <c r="K76" s="499"/>
      <c r="L76" s="499"/>
      <c r="M76" s="499" t="s">
        <v>17801</v>
      </c>
      <c r="N76" s="499" t="s">
        <v>18463</v>
      </c>
      <c r="O76" s="499">
        <v>1</v>
      </c>
      <c r="P76" s="540" t="s">
        <v>17628</v>
      </c>
      <c r="Q76" s="504" t="str">
        <f>CONCATENATE("2021",A76,P76,"INV")</f>
        <v>20210630000101INV</v>
      </c>
    </row>
    <row r="77" spans="1:17">
      <c r="A77" s="539" t="s">
        <v>18443</v>
      </c>
      <c r="B77" s="499" t="s">
        <v>18483</v>
      </c>
      <c r="C77" s="499" t="s">
        <v>18516</v>
      </c>
      <c r="D77" s="499" t="s">
        <v>18484</v>
      </c>
      <c r="E77" s="537" t="s">
        <v>18713</v>
      </c>
      <c r="F77" s="499">
        <v>6373034</v>
      </c>
      <c r="G77" s="499">
        <v>804142</v>
      </c>
      <c r="H77" s="499">
        <v>116</v>
      </c>
      <c r="I77" s="499" t="s">
        <v>17629</v>
      </c>
      <c r="J77" s="499" t="s">
        <v>18536</v>
      </c>
      <c r="K77" s="499"/>
      <c r="L77" s="499"/>
      <c r="M77" s="499" t="s">
        <v>17822</v>
      </c>
      <c r="N77" s="499" t="s">
        <v>18464</v>
      </c>
      <c r="O77" s="499">
        <v>7</v>
      </c>
      <c r="P77" s="540" t="s">
        <v>17628</v>
      </c>
      <c r="Q77" s="504" t="str">
        <f t="shared" ref="Q77:Q116" si="5">CONCATENATE("2021",A77,P77,"INV")</f>
        <v>20210659490001INV</v>
      </c>
    </row>
    <row r="78" spans="1:17">
      <c r="A78" s="539" t="s">
        <v>18444</v>
      </c>
      <c r="B78" s="499" t="s">
        <v>18485</v>
      </c>
      <c r="C78" s="499" t="s">
        <v>18517</v>
      </c>
      <c r="D78" s="499" t="s">
        <v>18486</v>
      </c>
      <c r="E78" s="537" t="s">
        <v>18714</v>
      </c>
      <c r="F78" s="499">
        <v>6582311</v>
      </c>
      <c r="G78" s="499">
        <v>873529</v>
      </c>
      <c r="H78" s="499">
        <v>208</v>
      </c>
      <c r="I78" s="499" t="s">
        <v>17631</v>
      </c>
      <c r="J78" s="499" t="s">
        <v>18537</v>
      </c>
      <c r="K78" s="499"/>
      <c r="L78" s="499"/>
      <c r="M78" s="499" t="s">
        <v>17756</v>
      </c>
      <c r="N78" s="499" t="s">
        <v>17757</v>
      </c>
      <c r="O78" s="499">
        <v>1</v>
      </c>
      <c r="P78" s="540" t="s">
        <v>17628</v>
      </c>
      <c r="Q78" s="504" t="str">
        <f t="shared" si="5"/>
        <v>20210604384501INV</v>
      </c>
    </row>
    <row r="79" spans="1:17">
      <c r="A79" s="539" t="s">
        <v>18445</v>
      </c>
      <c r="B79" s="499" t="s">
        <v>18487</v>
      </c>
      <c r="C79" s="499" t="s">
        <v>18518</v>
      </c>
      <c r="D79" s="499" t="s">
        <v>18488</v>
      </c>
      <c r="E79" s="537" t="s">
        <v>18715</v>
      </c>
      <c r="F79" s="499">
        <v>6557333</v>
      </c>
      <c r="G79" s="499">
        <v>838396</v>
      </c>
      <c r="H79" s="499">
        <v>183</v>
      </c>
      <c r="I79" s="499" t="s">
        <v>17629</v>
      </c>
      <c r="J79" s="499" t="s">
        <v>18538</v>
      </c>
      <c r="K79" s="499"/>
      <c r="L79" s="499"/>
      <c r="M79" s="499" t="s">
        <v>17756</v>
      </c>
      <c r="N79" s="499" t="s">
        <v>18465</v>
      </c>
      <c r="O79" s="499">
        <v>1</v>
      </c>
      <c r="P79" s="540" t="s">
        <v>17628</v>
      </c>
      <c r="Q79" s="504" t="str">
        <f t="shared" si="5"/>
        <v>20210607918601INV</v>
      </c>
    </row>
    <row r="80" spans="1:17">
      <c r="A80" s="539" t="s">
        <v>18446</v>
      </c>
      <c r="B80" s="499" t="s">
        <v>17817</v>
      </c>
      <c r="C80" s="499" t="s">
        <v>18519</v>
      </c>
      <c r="D80" s="499" t="s">
        <v>18489</v>
      </c>
      <c r="E80" s="537" t="s">
        <v>18716</v>
      </c>
      <c r="F80" s="499">
        <v>6437780</v>
      </c>
      <c r="G80" s="499">
        <v>817646</v>
      </c>
      <c r="H80" s="499">
        <v>494</v>
      </c>
      <c r="I80" s="499" t="s">
        <v>18462</v>
      </c>
      <c r="J80" s="499" t="s">
        <v>18539</v>
      </c>
      <c r="K80" s="499" t="s">
        <v>17626</v>
      </c>
      <c r="L80" s="499"/>
      <c r="M80" s="499" t="s">
        <v>17770</v>
      </c>
      <c r="N80" s="499" t="s">
        <v>18466</v>
      </c>
      <c r="O80" s="499">
        <v>7</v>
      </c>
      <c r="P80" s="540" t="s">
        <v>17628</v>
      </c>
      <c r="Q80" s="504" t="str">
        <f t="shared" si="5"/>
        <v>20210610556801INV</v>
      </c>
    </row>
    <row r="81" spans="1:17">
      <c r="A81" s="539" t="s">
        <v>18447</v>
      </c>
      <c r="B81" s="499" t="s">
        <v>18292</v>
      </c>
      <c r="C81" s="499" t="s">
        <v>18520</v>
      </c>
      <c r="D81" s="499" t="s">
        <v>18490</v>
      </c>
      <c r="E81" s="529">
        <v>26065</v>
      </c>
      <c r="F81" s="499">
        <v>6405555</v>
      </c>
      <c r="G81" s="499">
        <v>856185</v>
      </c>
      <c r="H81" s="499">
        <v>164</v>
      </c>
      <c r="I81" s="499" t="s">
        <v>17631</v>
      </c>
      <c r="J81" s="499" t="s">
        <v>18540</v>
      </c>
      <c r="K81" s="499"/>
      <c r="L81" s="499"/>
      <c r="M81" s="499" t="s">
        <v>17716</v>
      </c>
      <c r="N81" s="499" t="s">
        <v>18467</v>
      </c>
      <c r="O81" s="499">
        <v>26</v>
      </c>
      <c r="P81" s="540" t="s">
        <v>17628</v>
      </c>
      <c r="Q81" s="504" t="str">
        <f t="shared" si="5"/>
        <v>20210659050001INV</v>
      </c>
    </row>
    <row r="82" spans="1:17">
      <c r="A82" s="539" t="s">
        <v>18448</v>
      </c>
      <c r="B82" s="499" t="s">
        <v>18292</v>
      </c>
      <c r="C82" s="499" t="s">
        <v>18521</v>
      </c>
      <c r="D82" s="499" t="s">
        <v>18491</v>
      </c>
      <c r="E82" s="529">
        <v>26183</v>
      </c>
      <c r="F82" s="499">
        <v>6402684</v>
      </c>
      <c r="G82" s="499">
        <v>867794</v>
      </c>
      <c r="H82" s="499">
        <v>217</v>
      </c>
      <c r="I82" s="499" t="s">
        <v>17631</v>
      </c>
      <c r="J82" s="499" t="s">
        <v>18541</v>
      </c>
      <c r="K82" s="499"/>
      <c r="L82" s="499"/>
      <c r="M82" s="499" t="s">
        <v>17710</v>
      </c>
      <c r="N82" s="499" t="s">
        <v>18468</v>
      </c>
      <c r="O82" s="499">
        <v>26</v>
      </c>
      <c r="P82" s="540" t="s">
        <v>17628</v>
      </c>
      <c r="Q82" s="504" t="str">
        <f t="shared" si="5"/>
        <v>20210610850001INV</v>
      </c>
    </row>
    <row r="83" spans="1:17">
      <c r="A83" s="539" t="s">
        <v>18449</v>
      </c>
      <c r="B83" s="499" t="s">
        <v>18492</v>
      </c>
      <c r="C83" s="499" t="s">
        <v>18522</v>
      </c>
      <c r="D83" s="499" t="s">
        <v>18493</v>
      </c>
      <c r="E83" s="529">
        <v>74286</v>
      </c>
      <c r="F83" s="499">
        <v>6586363</v>
      </c>
      <c r="G83" s="499">
        <v>986474</v>
      </c>
      <c r="H83" s="499">
        <v>1159</v>
      </c>
      <c r="I83" s="499" t="s">
        <v>17629</v>
      </c>
      <c r="J83" s="499" t="s">
        <v>18542</v>
      </c>
      <c r="K83" s="499"/>
      <c r="L83" s="499"/>
      <c r="M83" s="499" t="s">
        <v>17855</v>
      </c>
      <c r="N83" s="499" t="s">
        <v>18469</v>
      </c>
      <c r="O83" s="499">
        <v>74</v>
      </c>
      <c r="P83" s="540" t="s">
        <v>17628</v>
      </c>
      <c r="Q83" s="504" t="str">
        <f t="shared" si="5"/>
        <v>20210600017901INV</v>
      </c>
    </row>
    <row r="84" spans="1:17">
      <c r="A84" s="539" t="s">
        <v>18450</v>
      </c>
      <c r="B84" s="499" t="s">
        <v>18494</v>
      </c>
      <c r="C84" s="499" t="s">
        <v>18523</v>
      </c>
      <c r="D84" s="499" t="s">
        <v>18495</v>
      </c>
      <c r="E84" s="529">
        <v>26075</v>
      </c>
      <c r="F84" s="499">
        <v>6378021</v>
      </c>
      <c r="G84" s="499">
        <v>895200</v>
      </c>
      <c r="H84" s="499">
        <v>633</v>
      </c>
      <c r="I84" s="499" t="s">
        <v>17629</v>
      </c>
      <c r="J84" s="499" t="s">
        <v>18543</v>
      </c>
      <c r="K84" s="499"/>
      <c r="L84" s="499"/>
      <c r="M84" s="499" t="s">
        <v>17874</v>
      </c>
      <c r="N84" s="499" t="s">
        <v>18470</v>
      </c>
      <c r="O84" s="499">
        <v>26</v>
      </c>
      <c r="P84" s="540" t="s">
        <v>17628</v>
      </c>
      <c r="Q84" s="504" t="str">
        <f t="shared" si="5"/>
        <v>20210611662501INV</v>
      </c>
    </row>
    <row r="85" spans="1:17">
      <c r="A85" s="539" t="s">
        <v>18451</v>
      </c>
      <c r="B85" s="499" t="s">
        <v>17825</v>
      </c>
      <c r="C85" s="499" t="s">
        <v>18524</v>
      </c>
      <c r="D85" s="499" t="s">
        <v>18496</v>
      </c>
      <c r="E85" s="537" t="s">
        <v>18717</v>
      </c>
      <c r="F85" s="499">
        <v>6414077</v>
      </c>
      <c r="G85" s="499">
        <v>829752</v>
      </c>
      <c r="H85" s="499">
        <v>160</v>
      </c>
      <c r="I85" s="499" t="s">
        <v>17631</v>
      </c>
      <c r="J85" s="499" t="s">
        <v>18544</v>
      </c>
      <c r="K85" s="499"/>
      <c r="L85" s="499"/>
      <c r="M85" s="499" t="s">
        <v>17822</v>
      </c>
      <c r="N85" s="499" t="s">
        <v>18471</v>
      </c>
      <c r="O85" s="499">
        <v>7</v>
      </c>
      <c r="P85" s="540" t="s">
        <v>17628</v>
      </c>
      <c r="Q85" s="504" t="str">
        <f t="shared" si="5"/>
        <v>20210610774501INV</v>
      </c>
    </row>
    <row r="86" spans="1:17">
      <c r="A86" s="539" t="s">
        <v>18452</v>
      </c>
      <c r="B86" s="499" t="s">
        <v>18497</v>
      </c>
      <c r="C86" s="499" t="s">
        <v>18525</v>
      </c>
      <c r="D86" s="499" t="s">
        <v>18299</v>
      </c>
      <c r="E86" s="529">
        <v>26183</v>
      </c>
      <c r="F86" s="499">
        <v>6403501</v>
      </c>
      <c r="G86" s="499">
        <v>865534</v>
      </c>
      <c r="H86" s="499">
        <v>218</v>
      </c>
      <c r="I86" s="499" t="s">
        <v>17631</v>
      </c>
      <c r="J86" s="499" t="s">
        <v>18545</v>
      </c>
      <c r="K86" s="499"/>
      <c r="L86" s="499"/>
      <c r="M86" s="499" t="s">
        <v>85</v>
      </c>
      <c r="N86" s="499" t="s">
        <v>18472</v>
      </c>
      <c r="O86" s="499">
        <v>26</v>
      </c>
      <c r="P86" s="540" t="s">
        <v>17628</v>
      </c>
      <c r="Q86" s="504" t="str">
        <f t="shared" si="5"/>
        <v>20210658045801INV</v>
      </c>
    </row>
    <row r="87" spans="1:17">
      <c r="A87" s="539" t="s">
        <v>18453</v>
      </c>
      <c r="B87" s="499" t="s">
        <v>18498</v>
      </c>
      <c r="C87" s="499" t="s">
        <v>18526</v>
      </c>
      <c r="D87" s="499" t="s">
        <v>18499</v>
      </c>
      <c r="E87" s="529">
        <v>42322</v>
      </c>
      <c r="F87" s="499">
        <v>6480464</v>
      </c>
      <c r="G87" s="499">
        <v>820186</v>
      </c>
      <c r="H87" s="499">
        <v>588</v>
      </c>
      <c r="I87" s="499" t="s">
        <v>17629</v>
      </c>
      <c r="J87" s="499" t="s">
        <v>18546</v>
      </c>
      <c r="K87" s="499"/>
      <c r="L87" s="499"/>
      <c r="M87" s="499" t="s">
        <v>17630</v>
      </c>
      <c r="N87" s="499" t="s">
        <v>18473</v>
      </c>
      <c r="O87" s="499">
        <v>42</v>
      </c>
      <c r="P87" s="540" t="s">
        <v>17628</v>
      </c>
      <c r="Q87" s="504" t="str">
        <f t="shared" si="5"/>
        <v>20210682013801INV</v>
      </c>
    </row>
    <row r="88" spans="1:17">
      <c r="A88" s="539" t="s">
        <v>18454</v>
      </c>
      <c r="B88" s="499" t="s">
        <v>18500</v>
      </c>
      <c r="C88" s="499" t="s">
        <v>18527</v>
      </c>
      <c r="D88" s="499" t="s">
        <v>18501</v>
      </c>
      <c r="E88" s="537" t="s">
        <v>18718</v>
      </c>
      <c r="F88" s="499">
        <v>6534498</v>
      </c>
      <c r="G88" s="499">
        <v>908496</v>
      </c>
      <c r="H88" s="499">
        <v>300</v>
      </c>
      <c r="I88" s="499" t="s">
        <v>17631</v>
      </c>
      <c r="J88" s="499" t="s">
        <v>18547</v>
      </c>
      <c r="K88" s="499"/>
      <c r="L88" s="499"/>
      <c r="M88" s="499" t="s">
        <v>17801</v>
      </c>
      <c r="N88" s="499" t="s">
        <v>18474</v>
      </c>
      <c r="O88" s="499">
        <v>1</v>
      </c>
      <c r="P88" s="540" t="s">
        <v>17628</v>
      </c>
      <c r="Q88" s="504" t="str">
        <f t="shared" si="5"/>
        <v>20210607645001INV</v>
      </c>
    </row>
    <row r="89" spans="1:17">
      <c r="A89" s="539" t="s">
        <v>18455</v>
      </c>
      <c r="B89" s="499" t="s">
        <v>18502</v>
      </c>
      <c r="C89" s="499" t="s">
        <v>18528</v>
      </c>
      <c r="D89" s="499" t="s">
        <v>18503</v>
      </c>
      <c r="E89" s="529">
        <v>38155</v>
      </c>
      <c r="F89" s="499">
        <v>6484595</v>
      </c>
      <c r="G89" s="499">
        <v>914833</v>
      </c>
      <c r="H89" s="499">
        <v>380</v>
      </c>
      <c r="I89" s="499" t="s">
        <v>17631</v>
      </c>
      <c r="J89" s="499" t="s">
        <v>18548</v>
      </c>
      <c r="K89" s="499"/>
      <c r="L89" s="499"/>
      <c r="M89" s="499" t="s">
        <v>85</v>
      </c>
      <c r="N89" s="499" t="s">
        <v>18475</v>
      </c>
      <c r="O89" s="499">
        <v>38</v>
      </c>
      <c r="P89" s="540" t="s">
        <v>17628</v>
      </c>
      <c r="Q89" s="504" t="str">
        <f t="shared" si="5"/>
        <v>20210658054201INV</v>
      </c>
    </row>
    <row r="90" spans="1:17">
      <c r="A90" s="539" t="s">
        <v>18456</v>
      </c>
      <c r="B90" s="499" t="s">
        <v>18502</v>
      </c>
      <c r="C90" s="499" t="s">
        <v>18529</v>
      </c>
      <c r="D90" s="499" t="s">
        <v>18504</v>
      </c>
      <c r="E90" s="529">
        <v>38412</v>
      </c>
      <c r="F90" s="499">
        <v>6477559</v>
      </c>
      <c r="G90" s="499">
        <v>915573</v>
      </c>
      <c r="H90" s="499">
        <v>481</v>
      </c>
      <c r="I90" s="499" t="s">
        <v>17629</v>
      </c>
      <c r="J90" s="499" t="s">
        <v>18549</v>
      </c>
      <c r="K90" s="499" t="s">
        <v>17626</v>
      </c>
      <c r="L90" s="499"/>
      <c r="M90" s="499" t="s">
        <v>85</v>
      </c>
      <c r="N90" s="499" t="s">
        <v>18476</v>
      </c>
      <c r="O90" s="499">
        <v>38</v>
      </c>
      <c r="P90" s="540" t="s">
        <v>17628</v>
      </c>
      <c r="Q90" s="504" t="str">
        <f t="shared" si="5"/>
        <v>20210607820001INV</v>
      </c>
    </row>
    <row r="91" spans="1:17">
      <c r="A91" s="539" t="s">
        <v>18457</v>
      </c>
      <c r="B91" s="499" t="s">
        <v>18505</v>
      </c>
      <c r="C91" s="499" t="s">
        <v>18530</v>
      </c>
      <c r="D91" s="499" t="s">
        <v>18506</v>
      </c>
      <c r="E91" s="537" t="s">
        <v>17652</v>
      </c>
      <c r="F91" s="499">
        <v>6567005</v>
      </c>
      <c r="G91" s="499">
        <v>896187</v>
      </c>
      <c r="H91" s="499">
        <v>471</v>
      </c>
      <c r="I91" s="499" t="s">
        <v>17631</v>
      </c>
      <c r="J91" s="499" t="s">
        <v>18551</v>
      </c>
      <c r="K91" s="499"/>
      <c r="L91" s="499"/>
      <c r="M91" s="499" t="s">
        <v>17801</v>
      </c>
      <c r="N91" s="499" t="s">
        <v>18477</v>
      </c>
      <c r="O91" s="499">
        <v>1</v>
      </c>
      <c r="P91" s="540" t="s">
        <v>17628</v>
      </c>
      <c r="Q91" s="504" t="str">
        <f t="shared" si="5"/>
        <v>20210658017801INV</v>
      </c>
    </row>
    <row r="92" spans="1:17">
      <c r="A92" s="539" t="s">
        <v>18458</v>
      </c>
      <c r="B92" s="499" t="s">
        <v>18507</v>
      </c>
      <c r="C92" s="499" t="s">
        <v>18531</v>
      </c>
      <c r="D92" s="499" t="s">
        <v>18508</v>
      </c>
      <c r="E92" s="529">
        <v>26296</v>
      </c>
      <c r="F92" s="499">
        <v>6399472</v>
      </c>
      <c r="G92" s="499">
        <v>880001</v>
      </c>
      <c r="H92" s="499">
        <v>353</v>
      </c>
      <c r="I92" s="499" t="s">
        <v>17629</v>
      </c>
      <c r="J92" s="499" t="s">
        <v>18552</v>
      </c>
      <c r="K92" s="499" t="s">
        <v>17626</v>
      </c>
      <c r="L92" s="499"/>
      <c r="M92" s="499" t="s">
        <v>17874</v>
      </c>
      <c r="N92" s="499" t="s">
        <v>18478</v>
      </c>
      <c r="O92" s="499">
        <v>26</v>
      </c>
      <c r="P92" s="540" t="s">
        <v>17628</v>
      </c>
      <c r="Q92" s="504" t="str">
        <f t="shared" si="5"/>
        <v>20210610798001INV</v>
      </c>
    </row>
    <row r="93" spans="1:17">
      <c r="A93" s="539" t="s">
        <v>18459</v>
      </c>
      <c r="B93" s="499" t="s">
        <v>18509</v>
      </c>
      <c r="C93" s="499" t="s">
        <v>18532</v>
      </c>
      <c r="D93" s="499" t="s">
        <v>18510</v>
      </c>
      <c r="E93" s="529">
        <v>38521</v>
      </c>
      <c r="F93" s="499">
        <v>6431972</v>
      </c>
      <c r="G93" s="499">
        <v>926116</v>
      </c>
      <c r="H93" s="499">
        <v>940</v>
      </c>
      <c r="I93" s="499" t="s">
        <v>17629</v>
      </c>
      <c r="J93" s="499" t="s">
        <v>18550</v>
      </c>
      <c r="K93" s="499"/>
      <c r="L93" s="499"/>
      <c r="M93" s="499" t="s">
        <v>17676</v>
      </c>
      <c r="N93" s="499" t="s">
        <v>17691</v>
      </c>
      <c r="O93" s="499">
        <v>38</v>
      </c>
      <c r="P93" s="540" t="s">
        <v>17628</v>
      </c>
      <c r="Q93" s="504" t="str">
        <f t="shared" si="5"/>
        <v>20210600075401INV</v>
      </c>
    </row>
    <row r="94" spans="1:17">
      <c r="A94" s="539" t="s">
        <v>18460</v>
      </c>
      <c r="B94" s="499" t="s">
        <v>18511</v>
      </c>
      <c r="C94" s="499" t="s">
        <v>18533</v>
      </c>
      <c r="D94" s="499" t="s">
        <v>18512</v>
      </c>
      <c r="E94" s="529">
        <v>38299</v>
      </c>
      <c r="F94" s="499">
        <v>6411023</v>
      </c>
      <c r="G94" s="499">
        <v>928641</v>
      </c>
      <c r="H94" s="499">
        <v>874</v>
      </c>
      <c r="I94" s="499" t="s">
        <v>17629</v>
      </c>
      <c r="J94" s="499" t="s">
        <v>18553</v>
      </c>
      <c r="K94" s="499"/>
      <c r="L94" s="499"/>
      <c r="M94" s="499" t="s">
        <v>17874</v>
      </c>
      <c r="N94" s="499" t="s">
        <v>18479</v>
      </c>
      <c r="O94" s="499">
        <v>38</v>
      </c>
      <c r="P94" s="540" t="s">
        <v>17628</v>
      </c>
      <c r="Q94" s="504" t="str">
        <f t="shared" si="5"/>
        <v>20210671009001INV</v>
      </c>
    </row>
    <row r="95" spans="1:17">
      <c r="A95" s="539" t="s">
        <v>18461</v>
      </c>
      <c r="B95" s="499" t="s">
        <v>18513</v>
      </c>
      <c r="C95" s="499" t="s">
        <v>18534</v>
      </c>
      <c r="D95" s="499" t="s">
        <v>18514</v>
      </c>
      <c r="E95" s="529">
        <v>73054</v>
      </c>
      <c r="F95" s="499">
        <v>6513346</v>
      </c>
      <c r="G95" s="499">
        <v>994574</v>
      </c>
      <c r="H95" s="499">
        <v>1080</v>
      </c>
      <c r="I95" s="499" t="s">
        <v>17629</v>
      </c>
      <c r="J95" s="499" t="s">
        <v>18550</v>
      </c>
      <c r="K95" s="499"/>
      <c r="L95" s="499"/>
      <c r="M95" s="499" t="s">
        <v>17748</v>
      </c>
      <c r="N95" s="499" t="s">
        <v>18480</v>
      </c>
      <c r="O95" s="499">
        <v>73</v>
      </c>
      <c r="P95" s="540" t="s">
        <v>17628</v>
      </c>
      <c r="Q95" s="504" t="str">
        <f t="shared" si="5"/>
        <v>20210600075501INV</v>
      </c>
    </row>
    <row r="96" spans="1:17" ht="15">
      <c r="A96" s="573" t="s">
        <v>18597</v>
      </c>
      <c r="B96" s="574" t="s">
        <v>18598</v>
      </c>
      <c r="C96" s="574" t="s">
        <v>18599</v>
      </c>
      <c r="D96" s="574" t="s">
        <v>18598</v>
      </c>
      <c r="E96" s="575" t="s">
        <v>18600</v>
      </c>
      <c r="F96" s="576">
        <v>6458740</v>
      </c>
      <c r="G96" s="576">
        <v>804508.9</v>
      </c>
      <c r="H96" s="577">
        <v>744</v>
      </c>
      <c r="I96" s="578" t="s">
        <v>17626</v>
      </c>
      <c r="J96" s="574" t="s">
        <v>18601</v>
      </c>
      <c r="K96" s="578"/>
      <c r="L96" s="579">
        <v>3</v>
      </c>
      <c r="M96" s="579" t="s">
        <v>17630</v>
      </c>
      <c r="N96" s="579" t="s">
        <v>18602</v>
      </c>
      <c r="O96" s="580">
        <v>43</v>
      </c>
      <c r="P96" s="540" t="s">
        <v>17628</v>
      </c>
      <c r="Q96" s="504" t="str">
        <f t="shared" si="5"/>
        <v>20210400335501INV</v>
      </c>
    </row>
    <row r="97" spans="1:17" ht="25.5">
      <c r="A97" s="573" t="s">
        <v>18603</v>
      </c>
      <c r="B97" s="574" t="s">
        <v>18604</v>
      </c>
      <c r="C97" s="574" t="s">
        <v>18605</v>
      </c>
      <c r="D97" s="574" t="s">
        <v>18606</v>
      </c>
      <c r="E97" s="581">
        <v>42291</v>
      </c>
      <c r="F97" s="582">
        <v>6524084</v>
      </c>
      <c r="G97" s="582">
        <v>767916</v>
      </c>
      <c r="H97" s="579">
        <v>475</v>
      </c>
      <c r="I97" s="583" t="s">
        <v>17631</v>
      </c>
      <c r="J97" s="582" t="s">
        <v>18607</v>
      </c>
      <c r="K97" s="583" t="s">
        <v>18608</v>
      </c>
      <c r="L97" s="584">
        <v>3</v>
      </c>
      <c r="M97" s="579" t="s">
        <v>83</v>
      </c>
      <c r="N97" s="584" t="s">
        <v>18609</v>
      </c>
      <c r="O97" s="575">
        <v>42</v>
      </c>
      <c r="P97" s="540" t="s">
        <v>17628</v>
      </c>
      <c r="Q97" s="504" t="str">
        <f t="shared" si="5"/>
        <v>20210401045001INV</v>
      </c>
    </row>
    <row r="98" spans="1:17" ht="25.5">
      <c r="A98" s="573" t="s">
        <v>18610</v>
      </c>
      <c r="B98" s="574" t="s">
        <v>18611</v>
      </c>
      <c r="C98" s="574" t="s">
        <v>18612</v>
      </c>
      <c r="D98" s="574" t="s">
        <v>18613</v>
      </c>
      <c r="E98" s="581">
        <v>42089</v>
      </c>
      <c r="F98" s="582">
        <v>6503140</v>
      </c>
      <c r="G98" s="582">
        <v>776111.1</v>
      </c>
      <c r="H98" s="579">
        <v>709</v>
      </c>
      <c r="I98" s="583" t="s">
        <v>17626</v>
      </c>
      <c r="J98" s="582" t="s">
        <v>18614</v>
      </c>
      <c r="K98" s="583"/>
      <c r="L98" s="584">
        <v>3</v>
      </c>
      <c r="M98" s="579" t="s">
        <v>17630</v>
      </c>
      <c r="N98" s="584" t="s">
        <v>18615</v>
      </c>
      <c r="O98" s="575">
        <v>42</v>
      </c>
      <c r="P98" s="540" t="s">
        <v>17628</v>
      </c>
      <c r="Q98" s="504" t="str">
        <f t="shared" si="5"/>
        <v>20210401078001INV</v>
      </c>
    </row>
    <row r="99" spans="1:17" ht="15">
      <c r="A99" s="573" t="s">
        <v>18616</v>
      </c>
      <c r="B99" s="583" t="s">
        <v>18617</v>
      </c>
      <c r="C99" s="583" t="s">
        <v>18618</v>
      </c>
      <c r="D99" s="583" t="s">
        <v>18619</v>
      </c>
      <c r="E99" s="580" t="s">
        <v>18620</v>
      </c>
      <c r="F99" s="576">
        <v>6582920</v>
      </c>
      <c r="G99" s="576">
        <v>768560.9</v>
      </c>
      <c r="H99" s="579">
        <v>265</v>
      </c>
      <c r="I99" s="583" t="s">
        <v>17626</v>
      </c>
      <c r="J99" s="583" t="s">
        <v>18621</v>
      </c>
      <c r="K99" s="583" t="s">
        <v>17631</v>
      </c>
      <c r="L99" s="579">
        <v>17</v>
      </c>
      <c r="M99" s="579" t="s">
        <v>18622</v>
      </c>
      <c r="N99" s="579" t="s">
        <v>18623</v>
      </c>
      <c r="O99" s="580" t="s">
        <v>18624</v>
      </c>
      <c r="P99" s="540" t="s">
        <v>17628</v>
      </c>
      <c r="Q99" s="504" t="str">
        <f t="shared" si="5"/>
        <v>20210402125001INV</v>
      </c>
    </row>
    <row r="100" spans="1:17" ht="15">
      <c r="A100" s="573" t="s">
        <v>18625</v>
      </c>
      <c r="B100" s="574" t="s">
        <v>18626</v>
      </c>
      <c r="C100" s="574" t="s">
        <v>18627</v>
      </c>
      <c r="D100" s="574" t="s">
        <v>18628</v>
      </c>
      <c r="E100" s="575" t="s">
        <v>18629</v>
      </c>
      <c r="F100" s="576">
        <v>6601450</v>
      </c>
      <c r="G100" s="576">
        <v>742876.2</v>
      </c>
      <c r="H100" s="577">
        <v>242</v>
      </c>
      <c r="I100" s="578" t="s">
        <v>17626</v>
      </c>
      <c r="J100" s="574" t="s">
        <v>18630</v>
      </c>
      <c r="K100" s="578"/>
      <c r="L100" s="579">
        <v>17</v>
      </c>
      <c r="M100" s="579" t="s">
        <v>17632</v>
      </c>
      <c r="N100" s="579" t="s">
        <v>18631</v>
      </c>
      <c r="O100" s="580" t="s">
        <v>18624</v>
      </c>
      <c r="P100" s="540" t="s">
        <v>17628</v>
      </c>
      <c r="Q100" s="504" t="str">
        <f t="shared" si="5"/>
        <v>20210402406001INV</v>
      </c>
    </row>
    <row r="101" spans="1:17" ht="15">
      <c r="A101" s="573" t="s">
        <v>18632</v>
      </c>
      <c r="B101" s="583" t="s">
        <v>18633</v>
      </c>
      <c r="C101" s="583" t="s">
        <v>18634</v>
      </c>
      <c r="D101" s="583" t="s">
        <v>18635</v>
      </c>
      <c r="E101" s="580" t="s">
        <v>18636</v>
      </c>
      <c r="F101" s="576">
        <v>6431243.9199999999</v>
      </c>
      <c r="G101" s="576">
        <v>743707.02399999998</v>
      </c>
      <c r="H101" s="579">
        <v>914</v>
      </c>
      <c r="I101" s="583" t="s">
        <v>17631</v>
      </c>
      <c r="J101" s="583" t="s">
        <v>18637</v>
      </c>
      <c r="K101" s="583"/>
      <c r="L101" s="579">
        <v>3</v>
      </c>
      <c r="M101" s="579" t="s">
        <v>83</v>
      </c>
      <c r="N101" s="579" t="s">
        <v>18638</v>
      </c>
      <c r="O101" s="580">
        <v>43</v>
      </c>
      <c r="P101" s="540" t="s">
        <v>17628</v>
      </c>
      <c r="Q101" s="504" t="str">
        <f t="shared" si="5"/>
        <v>20210402744001INV</v>
      </c>
    </row>
    <row r="102" spans="1:17" ht="15">
      <c r="A102" s="573" t="s">
        <v>18639</v>
      </c>
      <c r="B102" s="583" t="s">
        <v>18640</v>
      </c>
      <c r="C102" s="583" t="s">
        <v>18641</v>
      </c>
      <c r="D102" s="583" t="s">
        <v>18642</v>
      </c>
      <c r="E102" s="580" t="s">
        <v>18643</v>
      </c>
      <c r="F102" s="576">
        <v>6471790</v>
      </c>
      <c r="G102" s="576">
        <v>734353.4</v>
      </c>
      <c r="H102" s="579">
        <v>553</v>
      </c>
      <c r="I102" s="583" t="s">
        <v>17631</v>
      </c>
      <c r="J102" s="583" t="s">
        <v>18644</v>
      </c>
      <c r="K102" s="583"/>
      <c r="L102" s="579">
        <v>3</v>
      </c>
      <c r="M102" s="579" t="s">
        <v>17630</v>
      </c>
      <c r="N102" s="579" t="s">
        <v>18645</v>
      </c>
      <c r="O102" s="580">
        <v>43</v>
      </c>
      <c r="P102" s="540" t="s">
        <v>17628</v>
      </c>
      <c r="Q102" s="504" t="str">
        <f t="shared" si="5"/>
        <v>20210402787001INV</v>
      </c>
    </row>
    <row r="103" spans="1:17" ht="15">
      <c r="A103" s="573" t="s">
        <v>18646</v>
      </c>
      <c r="B103" s="583" t="s">
        <v>18647</v>
      </c>
      <c r="C103" s="583" t="s">
        <v>18648</v>
      </c>
      <c r="D103" s="583" t="s">
        <v>18649</v>
      </c>
      <c r="E103" s="580" t="s">
        <v>18650</v>
      </c>
      <c r="F103" s="576">
        <v>6459196</v>
      </c>
      <c r="G103" s="576">
        <v>716359.4</v>
      </c>
      <c r="H103" s="579">
        <v>500</v>
      </c>
      <c r="I103" s="583" t="s">
        <v>17631</v>
      </c>
      <c r="J103" s="583" t="s">
        <v>18651</v>
      </c>
      <c r="K103" s="583"/>
      <c r="L103" s="579">
        <v>3</v>
      </c>
      <c r="M103" s="579" t="s">
        <v>83</v>
      </c>
      <c r="N103" s="579" t="s">
        <v>18652</v>
      </c>
      <c r="O103" s="580">
        <v>15</v>
      </c>
      <c r="P103" s="540" t="s">
        <v>17628</v>
      </c>
      <c r="Q103" s="504" t="str">
        <f t="shared" si="5"/>
        <v>20210402865001INV</v>
      </c>
    </row>
    <row r="104" spans="1:17" ht="15">
      <c r="A104" s="573" t="s">
        <v>18653</v>
      </c>
      <c r="B104" s="583" t="s">
        <v>18654</v>
      </c>
      <c r="C104" s="583" t="s">
        <v>18655</v>
      </c>
      <c r="D104" s="583" t="s">
        <v>18656</v>
      </c>
      <c r="E104" s="580" t="s">
        <v>18657</v>
      </c>
      <c r="F104" s="576">
        <v>6511968</v>
      </c>
      <c r="G104" s="576">
        <v>726008.7</v>
      </c>
      <c r="H104" s="579">
        <v>386</v>
      </c>
      <c r="I104" s="583" t="s">
        <v>17631</v>
      </c>
      <c r="J104" s="583" t="s">
        <v>18658</v>
      </c>
      <c r="K104" s="583"/>
      <c r="L104" s="579">
        <v>3</v>
      </c>
      <c r="M104" s="579" t="s">
        <v>17630</v>
      </c>
      <c r="N104" s="579" t="s">
        <v>18659</v>
      </c>
      <c r="O104" s="579">
        <v>63</v>
      </c>
      <c r="P104" s="540" t="s">
        <v>17628</v>
      </c>
      <c r="Q104" s="504" t="str">
        <f t="shared" si="5"/>
        <v>20210403209001INV</v>
      </c>
    </row>
    <row r="105" spans="1:17" ht="15">
      <c r="A105" s="573" t="s">
        <v>18660</v>
      </c>
      <c r="B105" s="583" t="s">
        <v>18661</v>
      </c>
      <c r="C105" s="583" t="s">
        <v>18662</v>
      </c>
      <c r="D105" s="583" t="s">
        <v>18663</v>
      </c>
      <c r="E105" s="580" t="s">
        <v>18664</v>
      </c>
      <c r="F105" s="576">
        <v>6546490</v>
      </c>
      <c r="G105" s="576">
        <v>705789.1</v>
      </c>
      <c r="H105" s="579">
        <v>393</v>
      </c>
      <c r="I105" s="583" t="s">
        <v>17626</v>
      </c>
      <c r="J105" s="583" t="s">
        <v>18665</v>
      </c>
      <c r="K105" s="583" t="s">
        <v>17631</v>
      </c>
      <c r="L105" s="579">
        <v>21</v>
      </c>
      <c r="M105" s="579" t="s">
        <v>17635</v>
      </c>
      <c r="N105" s="579" t="s">
        <v>18666</v>
      </c>
      <c r="O105" s="579">
        <v>63</v>
      </c>
      <c r="P105" s="540" t="s">
        <v>17628</v>
      </c>
      <c r="Q105" s="504" t="str">
        <f t="shared" si="5"/>
        <v>20210403330001INV</v>
      </c>
    </row>
    <row r="106" spans="1:17" ht="15">
      <c r="A106" s="573" t="s">
        <v>18667</v>
      </c>
      <c r="B106" s="583" t="s">
        <v>18668</v>
      </c>
      <c r="C106" s="583" t="s">
        <v>18669</v>
      </c>
      <c r="D106" s="583" t="s">
        <v>18670</v>
      </c>
      <c r="E106" s="580" t="s">
        <v>18671</v>
      </c>
      <c r="F106" s="576">
        <v>6528507</v>
      </c>
      <c r="G106" s="576">
        <v>659372.9</v>
      </c>
      <c r="H106" s="579">
        <v>721</v>
      </c>
      <c r="I106" s="583" t="s">
        <v>17631</v>
      </c>
      <c r="J106" s="583" t="s">
        <v>18672</v>
      </c>
      <c r="K106" s="583"/>
      <c r="L106" s="579">
        <v>21</v>
      </c>
      <c r="M106" s="579" t="s">
        <v>18673</v>
      </c>
      <c r="N106" s="579" t="s">
        <v>18674</v>
      </c>
      <c r="O106" s="579">
        <v>63</v>
      </c>
      <c r="P106" s="540" t="s">
        <v>17628</v>
      </c>
      <c r="Q106" s="504" t="str">
        <f t="shared" si="5"/>
        <v>20210404175301INV</v>
      </c>
    </row>
    <row r="107" spans="1:17" ht="15">
      <c r="A107" s="573" t="s">
        <v>18675</v>
      </c>
      <c r="B107" s="574" t="s">
        <v>18676</v>
      </c>
      <c r="C107" s="583" t="s">
        <v>18677</v>
      </c>
      <c r="D107" s="574" t="s">
        <v>18678</v>
      </c>
      <c r="E107" s="575" t="s">
        <v>18679</v>
      </c>
      <c r="F107" s="576">
        <v>6560420</v>
      </c>
      <c r="G107" s="576">
        <v>666544.9</v>
      </c>
      <c r="H107" s="577">
        <v>370</v>
      </c>
      <c r="I107" s="578" t="s">
        <v>17626</v>
      </c>
      <c r="J107" s="574" t="s">
        <v>18680</v>
      </c>
      <c r="K107" s="578"/>
      <c r="L107" s="579">
        <v>21</v>
      </c>
      <c r="M107" s="579" t="s">
        <v>18673</v>
      </c>
      <c r="N107" s="579" t="s">
        <v>18681</v>
      </c>
      <c r="O107" s="579">
        <v>3</v>
      </c>
      <c r="P107" s="540" t="s">
        <v>17628</v>
      </c>
      <c r="Q107" s="504" t="str">
        <f t="shared" si="5"/>
        <v>20210405704001INV</v>
      </c>
    </row>
    <row r="108" spans="1:17" ht="15">
      <c r="A108" s="573" t="s">
        <v>18682</v>
      </c>
      <c r="B108" s="583" t="s">
        <v>18683</v>
      </c>
      <c r="C108" s="583" t="s">
        <v>18684</v>
      </c>
      <c r="D108" s="583" t="s">
        <v>18685</v>
      </c>
      <c r="E108" s="580" t="s">
        <v>18686</v>
      </c>
      <c r="F108" s="576">
        <v>6617280</v>
      </c>
      <c r="G108" s="576">
        <v>684564.5</v>
      </c>
      <c r="H108" s="579">
        <v>244</v>
      </c>
      <c r="I108" s="583" t="s">
        <v>17631</v>
      </c>
      <c r="J108" s="583" t="s">
        <v>18687</v>
      </c>
      <c r="K108" s="583"/>
      <c r="L108" s="579">
        <v>21</v>
      </c>
      <c r="M108" s="579" t="s">
        <v>18673</v>
      </c>
      <c r="N108" s="579" t="s">
        <v>18688</v>
      </c>
      <c r="O108" s="579">
        <v>3</v>
      </c>
      <c r="P108" s="540" t="s">
        <v>17628</v>
      </c>
      <c r="Q108" s="504" t="str">
        <f t="shared" si="5"/>
        <v>20210406351001INV</v>
      </c>
    </row>
    <row r="109" spans="1:17" ht="15">
      <c r="A109" s="573" t="s">
        <v>18689</v>
      </c>
      <c r="B109" s="574" t="s">
        <v>18690</v>
      </c>
      <c r="C109" s="574" t="s">
        <v>18691</v>
      </c>
      <c r="D109" s="574" t="s">
        <v>18692</v>
      </c>
      <c r="E109" s="581">
        <v>42279</v>
      </c>
      <c r="F109" s="582">
        <v>6490590</v>
      </c>
      <c r="G109" s="582">
        <v>794962.8</v>
      </c>
      <c r="H109" s="579">
        <v>377</v>
      </c>
      <c r="I109" s="583" t="s">
        <v>17629</v>
      </c>
      <c r="J109" s="582" t="s">
        <v>18693</v>
      </c>
      <c r="K109" s="583"/>
      <c r="L109" s="584">
        <v>17</v>
      </c>
      <c r="M109" s="579" t="s">
        <v>18622</v>
      </c>
      <c r="N109" s="584" t="s">
        <v>18694</v>
      </c>
      <c r="O109" s="584">
        <v>42</v>
      </c>
      <c r="P109" s="540" t="s">
        <v>17628</v>
      </c>
      <c r="Q109" s="504" t="str">
        <f t="shared" si="5"/>
        <v>20210440601101INV</v>
      </c>
    </row>
    <row r="110" spans="1:17" ht="15">
      <c r="A110" s="573" t="s">
        <v>18695</v>
      </c>
      <c r="B110" s="574" t="s">
        <v>18402</v>
      </c>
      <c r="C110" s="574" t="s">
        <v>18696</v>
      </c>
      <c r="D110" s="574" t="s">
        <v>18697</v>
      </c>
      <c r="E110" s="581">
        <v>15094</v>
      </c>
      <c r="F110" s="573">
        <v>6431085</v>
      </c>
      <c r="G110" s="573">
        <v>634117</v>
      </c>
      <c r="H110" s="579">
        <v>430</v>
      </c>
      <c r="I110" s="583" t="s">
        <v>17631</v>
      </c>
      <c r="J110" s="582" t="s">
        <v>18698</v>
      </c>
      <c r="K110" s="583"/>
      <c r="L110" s="584">
        <v>3</v>
      </c>
      <c r="M110" s="579" t="s">
        <v>17634</v>
      </c>
      <c r="N110" s="584" t="s">
        <v>18699</v>
      </c>
      <c r="O110" s="584">
        <v>15</v>
      </c>
      <c r="P110" s="540" t="s">
        <v>17628</v>
      </c>
      <c r="Q110" s="504" t="str">
        <f t="shared" si="5"/>
        <v>20210506380001INV</v>
      </c>
    </row>
    <row r="111" spans="1:17" ht="15">
      <c r="A111" s="573" t="s">
        <v>18700</v>
      </c>
      <c r="B111" s="574" t="s">
        <v>18701</v>
      </c>
      <c r="C111" s="574" t="s">
        <v>18702</v>
      </c>
      <c r="D111" s="574" t="s">
        <v>18703</v>
      </c>
      <c r="E111" s="581">
        <v>15019</v>
      </c>
      <c r="F111" s="585">
        <v>6467032</v>
      </c>
      <c r="G111" s="585">
        <v>653568</v>
      </c>
      <c r="H111" s="579">
        <v>375</v>
      </c>
      <c r="I111" s="583" t="s">
        <v>17631</v>
      </c>
      <c r="J111" s="582" t="s">
        <v>18704</v>
      </c>
      <c r="K111" s="583"/>
      <c r="L111" s="584">
        <v>3</v>
      </c>
      <c r="M111" s="579" t="s">
        <v>83</v>
      </c>
      <c r="N111" s="584" t="s">
        <v>18705</v>
      </c>
      <c r="O111" s="584">
        <v>15</v>
      </c>
      <c r="P111" s="540" t="s">
        <v>17628</v>
      </c>
      <c r="Q111" s="504" t="str">
        <f t="shared" si="5"/>
        <v>20210506866001INV</v>
      </c>
    </row>
    <row r="112" spans="1:17" ht="15">
      <c r="A112" s="573" t="s">
        <v>18706</v>
      </c>
      <c r="B112" s="574" t="s">
        <v>18707</v>
      </c>
      <c r="C112" s="574" t="s">
        <v>18708</v>
      </c>
      <c r="D112" s="574" t="s">
        <v>18709</v>
      </c>
      <c r="E112" s="581">
        <v>63416</v>
      </c>
      <c r="F112" s="586">
        <v>6495457</v>
      </c>
      <c r="G112" s="587">
        <v>660812</v>
      </c>
      <c r="H112" s="579">
        <v>580</v>
      </c>
      <c r="I112" s="583" t="s">
        <v>17631</v>
      </c>
      <c r="J112" s="582" t="s">
        <v>18710</v>
      </c>
      <c r="K112" s="583"/>
      <c r="L112" s="584">
        <v>21</v>
      </c>
      <c r="M112" s="579" t="s">
        <v>17635</v>
      </c>
      <c r="N112" s="584" t="s">
        <v>18711</v>
      </c>
      <c r="O112" s="584">
        <v>63</v>
      </c>
      <c r="P112" s="540" t="s">
        <v>17628</v>
      </c>
      <c r="Q112" s="504" t="str">
        <f t="shared" si="5"/>
        <v>20210506945001INV</v>
      </c>
    </row>
    <row r="113" spans="1:17">
      <c r="B113" s="499"/>
      <c r="C113" s="499"/>
      <c r="D113" s="499"/>
      <c r="E113" s="52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540" t="s">
        <v>17628</v>
      </c>
      <c r="Q113" s="504" t="str">
        <f t="shared" si="5"/>
        <v>202101INV</v>
      </c>
    </row>
    <row r="114" spans="1:17">
      <c r="B114" s="499"/>
      <c r="C114" s="499"/>
      <c r="D114" s="499"/>
      <c r="E114" s="52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540" t="s">
        <v>17628</v>
      </c>
      <c r="Q114" s="504" t="str">
        <f t="shared" si="5"/>
        <v>202101INV</v>
      </c>
    </row>
    <row r="115" spans="1:17">
      <c r="A115" s="569"/>
      <c r="B115" s="570"/>
      <c r="C115" s="570"/>
      <c r="D115" s="570"/>
      <c r="E115" s="571"/>
      <c r="F115" s="476"/>
      <c r="G115" s="476"/>
      <c r="H115" s="570"/>
      <c r="I115" s="570"/>
      <c r="J115" s="570"/>
      <c r="K115" s="570"/>
      <c r="L115" s="570"/>
      <c r="M115" s="570"/>
      <c r="N115" s="570"/>
      <c r="O115" s="570"/>
      <c r="P115" s="540" t="s">
        <v>17628</v>
      </c>
      <c r="Q115" s="504" t="str">
        <f t="shared" si="5"/>
        <v>202101INV</v>
      </c>
    </row>
    <row r="116" spans="1:17">
      <c r="A116" s="569"/>
      <c r="B116" s="570"/>
      <c r="C116" s="570"/>
      <c r="D116" s="570"/>
      <c r="E116" s="571"/>
      <c r="F116" s="476"/>
      <c r="G116" s="476"/>
      <c r="H116" s="570"/>
      <c r="I116" s="570"/>
      <c r="J116" s="570"/>
      <c r="K116" s="570"/>
      <c r="L116" s="570"/>
      <c r="M116" s="570"/>
      <c r="N116" s="570"/>
      <c r="O116" s="570"/>
      <c r="P116" s="540" t="s">
        <v>17628</v>
      </c>
      <c r="Q116" s="504" t="str">
        <f t="shared" si="5"/>
        <v>202101INV</v>
      </c>
    </row>
    <row r="117" spans="1:17">
      <c r="A117" s="569"/>
      <c r="B117" s="570"/>
      <c r="C117" s="570"/>
      <c r="D117" s="570"/>
      <c r="E117" s="571"/>
      <c r="F117" s="476"/>
      <c r="G117" s="476"/>
      <c r="H117" s="570"/>
      <c r="I117" s="570"/>
      <c r="J117" s="570"/>
      <c r="K117" s="570"/>
      <c r="L117" s="570"/>
      <c r="M117" s="570"/>
      <c r="N117" s="570"/>
      <c r="O117" s="570"/>
      <c r="P117" s="540" t="s">
        <v>17628</v>
      </c>
      <c r="Q117" s="504" t="str">
        <f t="shared" ref="Q117:Q122" si="6">CONCATENATE("2020",A117,P117,"INV")</f>
        <v>202001INV</v>
      </c>
    </row>
    <row r="118" spans="1:17">
      <c r="A118" s="569"/>
      <c r="B118" s="570"/>
      <c r="C118" s="570"/>
      <c r="D118" s="570"/>
      <c r="E118" s="571"/>
      <c r="F118" s="476"/>
      <c r="G118" s="476"/>
      <c r="H118" s="570"/>
      <c r="I118" s="570"/>
      <c r="J118" s="570"/>
      <c r="K118" s="570"/>
      <c r="L118" s="570"/>
      <c r="M118" s="570"/>
      <c r="N118" s="570"/>
      <c r="O118" s="570"/>
      <c r="P118" s="540" t="s">
        <v>17628</v>
      </c>
      <c r="Q118" s="504" t="str">
        <f t="shared" si="6"/>
        <v>202001INV</v>
      </c>
    </row>
    <row r="119" spans="1:17">
      <c r="B119" s="499"/>
      <c r="C119" s="499"/>
      <c r="D119" s="499"/>
      <c r="E119" s="529"/>
      <c r="F119" s="499"/>
      <c r="G119" s="499"/>
      <c r="H119" s="499"/>
      <c r="I119" s="499"/>
      <c r="J119" s="499"/>
      <c r="K119" s="499"/>
      <c r="L119" s="499"/>
      <c r="M119" s="499"/>
      <c r="N119" s="499"/>
      <c r="O119" s="499"/>
      <c r="P119" s="540" t="s">
        <v>17628</v>
      </c>
      <c r="Q119" s="504" t="str">
        <f t="shared" si="6"/>
        <v>202001INV</v>
      </c>
    </row>
    <row r="120" spans="1:17">
      <c r="B120" s="499"/>
      <c r="C120" s="499"/>
      <c r="D120" s="499"/>
      <c r="E120" s="529"/>
      <c r="F120" s="499"/>
      <c r="G120" s="499"/>
      <c r="H120" s="499"/>
      <c r="I120" s="499"/>
      <c r="J120" s="499"/>
      <c r="K120" s="499"/>
      <c r="L120" s="499"/>
      <c r="M120" s="499"/>
      <c r="N120" s="499"/>
      <c r="O120" s="499"/>
      <c r="P120" s="540" t="s">
        <v>17628</v>
      </c>
      <c r="Q120" s="504" t="str">
        <f t="shared" si="6"/>
        <v>202001INV</v>
      </c>
    </row>
    <row r="121" spans="1:17">
      <c r="B121" s="499"/>
      <c r="C121" s="499"/>
      <c r="D121" s="499"/>
      <c r="E121" s="529"/>
      <c r="F121" s="499"/>
      <c r="G121" s="499"/>
      <c r="H121" s="499"/>
      <c r="I121" s="499"/>
      <c r="J121" s="499"/>
      <c r="K121" s="499"/>
      <c r="L121" s="499"/>
      <c r="M121" s="499"/>
      <c r="N121" s="499"/>
      <c r="O121" s="499"/>
      <c r="P121" s="540" t="s">
        <v>17628</v>
      </c>
      <c r="Q121" s="504" t="str">
        <f t="shared" si="6"/>
        <v>202001INV</v>
      </c>
    </row>
    <row r="122" spans="1:17">
      <c r="B122" s="499"/>
      <c r="C122" s="499"/>
      <c r="D122" s="499"/>
      <c r="E122" s="52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540" t="s">
        <v>17628</v>
      </c>
      <c r="Q122" s="504" t="str">
        <f t="shared" si="6"/>
        <v>202001INV</v>
      </c>
    </row>
    <row r="123" spans="1:17">
      <c r="B123" s="499"/>
      <c r="C123" s="499"/>
      <c r="D123" s="499"/>
      <c r="E123" s="529"/>
      <c r="F123" s="499"/>
      <c r="G123" s="499"/>
      <c r="H123" s="499"/>
      <c r="I123" s="499"/>
      <c r="J123" s="499"/>
      <c r="K123" s="499"/>
      <c r="L123" s="499"/>
      <c r="M123" s="499"/>
      <c r="N123" s="499"/>
      <c r="O123" s="499"/>
      <c r="P123" s="540" t="s">
        <v>17628</v>
      </c>
      <c r="Q123" s="504" t="str">
        <f t="shared" ref="Q123:Q154" si="7">CONCATENATE("2020",A123,P123,"INV")</f>
        <v>202001INV</v>
      </c>
    </row>
    <row r="124" spans="1:17">
      <c r="B124" s="499"/>
      <c r="C124" s="499"/>
      <c r="D124" s="499"/>
      <c r="E124" s="529"/>
      <c r="F124" s="499"/>
      <c r="G124" s="499"/>
      <c r="H124" s="499"/>
      <c r="I124" s="499"/>
      <c r="J124" s="499"/>
      <c r="K124" s="499"/>
      <c r="L124" s="499"/>
      <c r="M124" s="499"/>
      <c r="N124" s="499"/>
      <c r="O124" s="499"/>
      <c r="P124" s="540" t="s">
        <v>17628</v>
      </c>
      <c r="Q124" s="504" t="str">
        <f t="shared" si="7"/>
        <v>202001INV</v>
      </c>
    </row>
    <row r="125" spans="1:17">
      <c r="B125" s="499"/>
      <c r="C125" s="499"/>
      <c r="D125" s="499"/>
      <c r="E125" s="52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540" t="s">
        <v>17628</v>
      </c>
      <c r="Q125" s="504" t="str">
        <f t="shared" si="7"/>
        <v>202001INV</v>
      </c>
    </row>
    <row r="126" spans="1:17">
      <c r="B126" s="499"/>
      <c r="C126" s="499"/>
      <c r="D126" s="499"/>
      <c r="E126" s="52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540" t="s">
        <v>17628</v>
      </c>
      <c r="Q126" s="504" t="str">
        <f t="shared" si="7"/>
        <v>202001INV</v>
      </c>
    </row>
    <row r="127" spans="1:17">
      <c r="B127" s="499"/>
      <c r="C127" s="499"/>
      <c r="D127" s="499"/>
      <c r="E127" s="52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540" t="s">
        <v>17628</v>
      </c>
      <c r="Q127" s="504" t="str">
        <f t="shared" si="7"/>
        <v>202001INV</v>
      </c>
    </row>
    <row r="128" spans="1:17">
      <c r="B128" s="499"/>
      <c r="C128" s="499"/>
      <c r="D128" s="499"/>
      <c r="E128" s="52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540" t="s">
        <v>17628</v>
      </c>
      <c r="Q128" s="504" t="str">
        <f t="shared" si="7"/>
        <v>202001INV</v>
      </c>
    </row>
    <row r="129" spans="1:17">
      <c r="B129" s="499"/>
      <c r="C129" s="499"/>
      <c r="D129" s="499"/>
      <c r="E129" s="52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540" t="s">
        <v>17628</v>
      </c>
      <c r="Q129" s="504" t="str">
        <f t="shared" si="7"/>
        <v>202001INV</v>
      </c>
    </row>
    <row r="130" spans="1:17">
      <c r="A130" s="569" t="s">
        <v>18557</v>
      </c>
      <c r="B130" s="570" t="s">
        <v>18558</v>
      </c>
      <c r="C130" s="570" t="s">
        <v>18559</v>
      </c>
      <c r="D130" s="570" t="s">
        <v>18560</v>
      </c>
      <c r="E130" s="571" t="s">
        <v>18561</v>
      </c>
      <c r="F130" s="476">
        <v>6999991</v>
      </c>
      <c r="G130" s="476">
        <v>999991</v>
      </c>
      <c r="H130" s="570">
        <v>991</v>
      </c>
      <c r="I130" s="570"/>
      <c r="J130" s="570" t="s">
        <v>18562</v>
      </c>
      <c r="K130" s="570"/>
      <c r="L130" s="570" t="s">
        <v>18563</v>
      </c>
      <c r="M130" s="570" t="s">
        <v>18564</v>
      </c>
      <c r="N130" s="570"/>
      <c r="O130" s="570" t="s">
        <v>18565</v>
      </c>
      <c r="P130" s="572" t="s">
        <v>17628</v>
      </c>
      <c r="Q130" s="378" t="str">
        <f t="shared" si="7"/>
        <v>20200000000101INV</v>
      </c>
    </row>
    <row r="131" spans="1:17">
      <c r="A131" s="569" t="s">
        <v>18566</v>
      </c>
      <c r="B131" s="570" t="s">
        <v>18567</v>
      </c>
      <c r="C131" s="570" t="s">
        <v>18568</v>
      </c>
      <c r="D131" s="570" t="s">
        <v>18569</v>
      </c>
      <c r="E131" s="571" t="s">
        <v>18570</v>
      </c>
      <c r="F131" s="476">
        <v>6999992</v>
      </c>
      <c r="G131" s="476">
        <v>999992</v>
      </c>
      <c r="H131" s="570">
        <v>992</v>
      </c>
      <c r="I131" s="570"/>
      <c r="J131" s="570" t="s">
        <v>18571</v>
      </c>
      <c r="K131" s="570"/>
      <c r="L131" s="570" t="s">
        <v>18572</v>
      </c>
      <c r="M131" s="570" t="s">
        <v>18573</v>
      </c>
      <c r="N131" s="570"/>
      <c r="O131" s="570" t="s">
        <v>18574</v>
      </c>
      <c r="P131" s="572" t="s">
        <v>17628</v>
      </c>
      <c r="Q131" s="378" t="str">
        <f t="shared" si="7"/>
        <v>20200000000201INV</v>
      </c>
    </row>
    <row r="132" spans="1:17">
      <c r="A132" s="569" t="s">
        <v>18575</v>
      </c>
      <c r="B132" s="570" t="s">
        <v>18576</v>
      </c>
      <c r="C132" s="570" t="s">
        <v>18577</v>
      </c>
      <c r="D132" s="570" t="s">
        <v>18578</v>
      </c>
      <c r="E132" s="571" t="s">
        <v>18579</v>
      </c>
      <c r="F132" s="476">
        <v>6999993</v>
      </c>
      <c r="G132" s="476">
        <v>999993</v>
      </c>
      <c r="H132" s="570">
        <v>993</v>
      </c>
      <c r="I132" s="570"/>
      <c r="J132" s="570" t="s">
        <v>18580</v>
      </c>
      <c r="K132" s="570"/>
      <c r="L132" s="570" t="s">
        <v>18581</v>
      </c>
      <c r="M132" s="570" t="s">
        <v>18582</v>
      </c>
      <c r="N132" s="570"/>
      <c r="O132" s="570" t="s">
        <v>18583</v>
      </c>
      <c r="P132" s="572" t="s">
        <v>17628</v>
      </c>
      <c r="Q132" s="378" t="str">
        <f t="shared" si="7"/>
        <v>20200000000301INV</v>
      </c>
    </row>
    <row r="133" spans="1:17">
      <c r="A133" s="569" t="s">
        <v>18584</v>
      </c>
      <c r="B133" s="570" t="s">
        <v>18585</v>
      </c>
      <c r="C133" s="570" t="s">
        <v>18586</v>
      </c>
      <c r="D133" s="570" t="s">
        <v>18587</v>
      </c>
      <c r="E133" s="571" t="s">
        <v>18588</v>
      </c>
      <c r="F133" s="476">
        <v>6999994</v>
      </c>
      <c r="G133" s="476">
        <v>999994</v>
      </c>
      <c r="H133" s="570">
        <v>994</v>
      </c>
      <c r="I133" s="570"/>
      <c r="J133" s="570" t="s">
        <v>18589</v>
      </c>
      <c r="K133" s="570"/>
      <c r="L133" s="570" t="s">
        <v>18590</v>
      </c>
      <c r="M133" s="570" t="s">
        <v>18591</v>
      </c>
      <c r="N133" s="570"/>
      <c r="O133" s="570" t="s">
        <v>18592</v>
      </c>
      <c r="P133" s="572" t="s">
        <v>17628</v>
      </c>
      <c r="Q133" s="378" t="str">
        <f t="shared" si="7"/>
        <v>20200000000401INV</v>
      </c>
    </row>
    <row r="134" spans="1:17">
      <c r="B134" s="499"/>
      <c r="C134" s="499"/>
      <c r="D134" s="499"/>
      <c r="E134" s="52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540" t="s">
        <v>17628</v>
      </c>
      <c r="Q134" s="504" t="str">
        <f t="shared" si="7"/>
        <v>202001INV</v>
      </c>
    </row>
    <row r="135" spans="1:17">
      <c r="B135" s="499"/>
      <c r="C135" s="499"/>
      <c r="D135" s="499"/>
      <c r="E135" s="529"/>
      <c r="F135" s="499"/>
      <c r="G135" s="499"/>
      <c r="H135" s="499"/>
      <c r="I135" s="499"/>
      <c r="J135" s="499"/>
      <c r="K135" s="499"/>
      <c r="L135" s="499"/>
      <c r="M135" s="499"/>
      <c r="N135" s="499"/>
      <c r="O135" s="499"/>
      <c r="P135" s="540" t="s">
        <v>17628</v>
      </c>
      <c r="Q135" s="504" t="str">
        <f t="shared" si="7"/>
        <v>202001INV</v>
      </c>
    </row>
    <row r="136" spans="1:17">
      <c r="B136" s="499"/>
      <c r="C136" s="499"/>
      <c r="D136" s="499"/>
      <c r="E136" s="52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540" t="s">
        <v>17628</v>
      </c>
      <c r="Q136" s="504" t="str">
        <f t="shared" si="7"/>
        <v>202001INV</v>
      </c>
    </row>
    <row r="137" spans="1:17">
      <c r="B137" s="499"/>
      <c r="C137" s="499"/>
      <c r="D137" s="499"/>
      <c r="E137" s="529"/>
      <c r="F137" s="499"/>
      <c r="G137" s="499"/>
      <c r="H137" s="499"/>
      <c r="I137" s="499"/>
      <c r="J137" s="499"/>
      <c r="K137" s="499"/>
      <c r="L137" s="499"/>
      <c r="M137" s="499"/>
      <c r="N137" s="499"/>
      <c r="O137" s="499"/>
      <c r="P137" s="540" t="s">
        <v>17628</v>
      </c>
      <c r="Q137" s="504" t="str">
        <f t="shared" si="7"/>
        <v>202001INV</v>
      </c>
    </row>
    <row r="138" spans="1:17">
      <c r="B138" s="499"/>
      <c r="C138" s="499"/>
      <c r="D138" s="499"/>
      <c r="E138" s="529"/>
      <c r="F138" s="499"/>
      <c r="G138" s="499"/>
      <c r="H138" s="499"/>
      <c r="I138" s="499"/>
      <c r="J138" s="499"/>
      <c r="K138" s="499"/>
      <c r="L138" s="499"/>
      <c r="M138" s="499"/>
      <c r="N138" s="499"/>
      <c r="O138" s="499"/>
      <c r="P138" s="540" t="s">
        <v>17628</v>
      </c>
      <c r="Q138" s="504" t="str">
        <f t="shared" si="7"/>
        <v>202001INV</v>
      </c>
    </row>
    <row r="139" spans="1:17">
      <c r="B139" s="499"/>
      <c r="C139" s="499"/>
      <c r="D139" s="499"/>
      <c r="E139" s="529"/>
      <c r="F139" s="499"/>
      <c r="G139" s="499"/>
      <c r="H139" s="499"/>
      <c r="I139" s="499"/>
      <c r="J139" s="499"/>
      <c r="K139" s="499"/>
      <c r="L139" s="499"/>
      <c r="M139" s="499"/>
      <c r="N139" s="499"/>
      <c r="O139" s="499"/>
      <c r="P139" s="540" t="s">
        <v>17628</v>
      </c>
      <c r="Q139" s="504" t="str">
        <f t="shared" si="7"/>
        <v>202001INV</v>
      </c>
    </row>
    <row r="140" spans="1:17">
      <c r="B140" s="499"/>
      <c r="C140" s="499"/>
      <c r="D140" s="499"/>
      <c r="E140" s="529"/>
      <c r="F140" s="499"/>
      <c r="G140" s="499"/>
      <c r="H140" s="499"/>
      <c r="I140" s="499"/>
      <c r="J140" s="499"/>
      <c r="K140" s="499"/>
      <c r="L140" s="499"/>
      <c r="M140" s="499"/>
      <c r="N140" s="499"/>
      <c r="O140" s="499"/>
      <c r="P140" s="540" t="s">
        <v>17628</v>
      </c>
      <c r="Q140" s="504" t="str">
        <f t="shared" si="7"/>
        <v>202001INV</v>
      </c>
    </row>
    <row r="141" spans="1:17">
      <c r="B141" s="499"/>
      <c r="C141" s="499"/>
      <c r="D141" s="499"/>
      <c r="E141" s="529"/>
      <c r="F141" s="499"/>
      <c r="G141" s="499"/>
      <c r="H141" s="499"/>
      <c r="I141" s="499"/>
      <c r="J141" s="499"/>
      <c r="K141" s="499"/>
      <c r="L141" s="499"/>
      <c r="M141" s="499"/>
      <c r="N141" s="499"/>
      <c r="O141" s="499"/>
      <c r="P141" s="540" t="s">
        <v>17628</v>
      </c>
      <c r="Q141" s="504" t="str">
        <f t="shared" si="7"/>
        <v>202001INV</v>
      </c>
    </row>
    <row r="142" spans="1:17">
      <c r="B142" s="499"/>
      <c r="C142" s="499"/>
      <c r="D142" s="499"/>
      <c r="E142" s="529"/>
      <c r="F142" s="499"/>
      <c r="G142" s="499"/>
      <c r="H142" s="499"/>
      <c r="I142" s="499"/>
      <c r="J142" s="499"/>
      <c r="K142" s="499"/>
      <c r="L142" s="499"/>
      <c r="M142" s="499"/>
      <c r="N142" s="499"/>
      <c r="O142" s="499"/>
      <c r="P142" s="540" t="s">
        <v>17628</v>
      </c>
      <c r="Q142" s="504" t="str">
        <f t="shared" si="7"/>
        <v>202001INV</v>
      </c>
    </row>
    <row r="143" spans="1:17">
      <c r="B143" s="499"/>
      <c r="C143" s="499"/>
      <c r="D143" s="499"/>
      <c r="E143" s="529"/>
      <c r="F143" s="499"/>
      <c r="G143" s="499"/>
      <c r="H143" s="499"/>
      <c r="I143" s="499"/>
      <c r="J143" s="499"/>
      <c r="K143" s="499"/>
      <c r="L143" s="499"/>
      <c r="M143" s="499"/>
      <c r="N143" s="499"/>
      <c r="O143" s="499"/>
      <c r="P143" s="540" t="s">
        <v>17628</v>
      </c>
      <c r="Q143" s="504" t="str">
        <f t="shared" si="7"/>
        <v>202001INV</v>
      </c>
    </row>
    <row r="144" spans="1:17">
      <c r="B144" s="499"/>
      <c r="C144" s="499"/>
      <c r="D144" s="499"/>
      <c r="E144" s="529"/>
      <c r="F144" s="499"/>
      <c r="G144" s="499"/>
      <c r="H144" s="499"/>
      <c r="I144" s="499"/>
      <c r="J144" s="499"/>
      <c r="K144" s="499"/>
      <c r="L144" s="499"/>
      <c r="M144" s="499"/>
      <c r="N144" s="499"/>
      <c r="O144" s="499"/>
      <c r="P144" s="540" t="s">
        <v>17628</v>
      </c>
      <c r="Q144" s="504" t="str">
        <f t="shared" si="7"/>
        <v>202001INV</v>
      </c>
    </row>
    <row r="145" spans="2:17">
      <c r="B145" s="499"/>
      <c r="C145" s="499"/>
      <c r="D145" s="499"/>
      <c r="E145" s="529"/>
      <c r="F145" s="499"/>
      <c r="G145" s="499"/>
      <c r="H145" s="499"/>
      <c r="I145" s="499"/>
      <c r="J145" s="499"/>
      <c r="K145" s="499"/>
      <c r="L145" s="499"/>
      <c r="M145" s="499"/>
      <c r="N145" s="499"/>
      <c r="O145" s="499"/>
      <c r="P145" s="540" t="s">
        <v>17628</v>
      </c>
      <c r="Q145" s="504" t="str">
        <f t="shared" si="7"/>
        <v>202001INV</v>
      </c>
    </row>
    <row r="146" spans="2:17">
      <c r="B146" s="499"/>
      <c r="C146" s="499"/>
      <c r="D146" s="499"/>
      <c r="E146" s="529"/>
      <c r="F146" s="499"/>
      <c r="G146" s="499"/>
      <c r="H146" s="499"/>
      <c r="I146" s="499"/>
      <c r="J146" s="499"/>
      <c r="K146" s="499"/>
      <c r="L146" s="499"/>
      <c r="M146" s="499"/>
      <c r="N146" s="499"/>
      <c r="O146" s="499"/>
      <c r="P146" s="540" t="s">
        <v>17628</v>
      </c>
      <c r="Q146" s="504" t="str">
        <f t="shared" si="7"/>
        <v>202001INV</v>
      </c>
    </row>
    <row r="147" spans="2:17">
      <c r="B147" s="499"/>
      <c r="C147" s="499"/>
      <c r="D147" s="499"/>
      <c r="E147" s="529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540" t="s">
        <v>17628</v>
      </c>
      <c r="Q147" s="504" t="str">
        <f t="shared" si="7"/>
        <v>202001INV</v>
      </c>
    </row>
    <row r="148" spans="2:17">
      <c r="B148" s="499"/>
      <c r="C148" s="499"/>
      <c r="D148" s="499"/>
      <c r="E148" s="529"/>
      <c r="F148" s="499"/>
      <c r="G148" s="499"/>
      <c r="H148" s="499"/>
      <c r="I148" s="499"/>
      <c r="J148" s="499"/>
      <c r="K148" s="499"/>
      <c r="L148" s="499"/>
      <c r="M148" s="499"/>
      <c r="N148" s="499"/>
      <c r="O148" s="499"/>
      <c r="P148" s="540" t="s">
        <v>17628</v>
      </c>
      <c r="Q148" s="504" t="str">
        <f t="shared" si="7"/>
        <v>202001INV</v>
      </c>
    </row>
    <row r="149" spans="2:17">
      <c r="B149" s="499"/>
      <c r="C149" s="499"/>
      <c r="D149" s="499"/>
      <c r="E149" s="529"/>
      <c r="F149" s="499"/>
      <c r="G149" s="499"/>
      <c r="H149" s="499"/>
      <c r="I149" s="499"/>
      <c r="J149" s="499"/>
      <c r="K149" s="499"/>
      <c r="L149" s="499"/>
      <c r="M149" s="499"/>
      <c r="N149" s="499"/>
      <c r="O149" s="499"/>
      <c r="P149" s="540" t="s">
        <v>17628</v>
      </c>
      <c r="Q149" s="504" t="str">
        <f t="shared" si="7"/>
        <v>202001INV</v>
      </c>
    </row>
    <row r="150" spans="2:17">
      <c r="B150" s="499"/>
      <c r="C150" s="499"/>
      <c r="D150" s="499"/>
      <c r="E150" s="529"/>
      <c r="F150" s="499"/>
      <c r="G150" s="499"/>
      <c r="H150" s="499"/>
      <c r="I150" s="499"/>
      <c r="J150" s="499"/>
      <c r="K150" s="499"/>
      <c r="L150" s="499"/>
      <c r="M150" s="499"/>
      <c r="N150" s="499"/>
      <c r="O150" s="499"/>
      <c r="P150" s="540" t="s">
        <v>17628</v>
      </c>
      <c r="Q150" s="504" t="str">
        <f t="shared" si="7"/>
        <v>202001INV</v>
      </c>
    </row>
    <row r="151" spans="2:17">
      <c r="B151" s="499"/>
      <c r="C151" s="499"/>
      <c r="D151" s="499"/>
      <c r="E151" s="529"/>
      <c r="F151" s="499"/>
      <c r="G151" s="499"/>
      <c r="H151" s="499"/>
      <c r="I151" s="499"/>
      <c r="J151" s="499"/>
      <c r="K151" s="499"/>
      <c r="L151" s="499"/>
      <c r="M151" s="499"/>
      <c r="N151" s="499"/>
      <c r="O151" s="499"/>
      <c r="P151" s="540" t="s">
        <v>17628</v>
      </c>
      <c r="Q151" s="504" t="str">
        <f t="shared" si="7"/>
        <v>202001INV</v>
      </c>
    </row>
    <row r="152" spans="2:17">
      <c r="B152" s="499"/>
      <c r="C152" s="499"/>
      <c r="D152" s="499"/>
      <c r="E152" s="529"/>
      <c r="F152" s="499"/>
      <c r="G152" s="499"/>
      <c r="H152" s="499"/>
      <c r="I152" s="499"/>
      <c r="J152" s="499"/>
      <c r="K152" s="499"/>
      <c r="L152" s="499"/>
      <c r="M152" s="499"/>
      <c r="N152" s="499"/>
      <c r="O152" s="499"/>
      <c r="P152" s="540" t="s">
        <v>17628</v>
      </c>
      <c r="Q152" s="504" t="str">
        <f t="shared" si="7"/>
        <v>202001INV</v>
      </c>
    </row>
    <row r="153" spans="2:17">
      <c r="B153" s="499"/>
      <c r="C153" s="499"/>
      <c r="D153" s="499"/>
      <c r="E153" s="52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540" t="s">
        <v>17628</v>
      </c>
      <c r="Q153" s="504" t="str">
        <f t="shared" si="7"/>
        <v>202001INV</v>
      </c>
    </row>
    <row r="154" spans="2:17">
      <c r="B154" s="499"/>
      <c r="C154" s="499"/>
      <c r="D154" s="499"/>
      <c r="E154" s="529"/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540" t="s">
        <v>17628</v>
      </c>
      <c r="Q154" s="504" t="str">
        <f t="shared" si="7"/>
        <v>202001INV</v>
      </c>
    </row>
    <row r="155" spans="2:17">
      <c r="B155" s="499"/>
      <c r="C155" s="499"/>
      <c r="D155" s="499"/>
      <c r="E155" s="529"/>
      <c r="F155" s="499"/>
      <c r="G155" s="499"/>
      <c r="H155" s="499"/>
      <c r="I155" s="499"/>
      <c r="J155" s="499"/>
      <c r="K155" s="499"/>
      <c r="L155" s="499"/>
      <c r="M155" s="499"/>
      <c r="N155" s="499"/>
      <c r="O155" s="499"/>
      <c r="P155" s="540" t="s">
        <v>17628</v>
      </c>
      <c r="Q155" s="504" t="str">
        <f t="shared" ref="Q155:Q173" si="8">CONCATENATE("2020",A155,P155,"INV")</f>
        <v>202001INV</v>
      </c>
    </row>
    <row r="156" spans="2:17">
      <c r="B156" s="499"/>
      <c r="C156" s="499"/>
      <c r="D156" s="499"/>
      <c r="E156" s="529"/>
      <c r="F156" s="499"/>
      <c r="G156" s="499"/>
      <c r="H156" s="499"/>
      <c r="I156" s="499"/>
      <c r="J156" s="499"/>
      <c r="K156" s="499"/>
      <c r="L156" s="499"/>
      <c r="M156" s="499"/>
      <c r="N156" s="499"/>
      <c r="O156" s="499"/>
      <c r="P156" s="540" t="s">
        <v>17628</v>
      </c>
      <c r="Q156" s="504" t="str">
        <f t="shared" si="8"/>
        <v>202001INV</v>
      </c>
    </row>
    <row r="157" spans="2:17">
      <c r="B157" s="499"/>
      <c r="C157" s="499"/>
      <c r="D157" s="499"/>
      <c r="E157" s="529"/>
      <c r="F157" s="499"/>
      <c r="G157" s="499"/>
      <c r="H157" s="499"/>
      <c r="I157" s="499"/>
      <c r="J157" s="499"/>
      <c r="K157" s="499"/>
      <c r="L157" s="499"/>
      <c r="M157" s="499"/>
      <c r="N157" s="499"/>
      <c r="O157" s="499"/>
      <c r="P157" s="540" t="s">
        <v>17628</v>
      </c>
      <c r="Q157" s="504" t="str">
        <f t="shared" si="8"/>
        <v>202001INV</v>
      </c>
    </row>
    <row r="158" spans="2:17">
      <c r="B158" s="499"/>
      <c r="C158" s="499"/>
      <c r="D158" s="499"/>
      <c r="E158" s="529"/>
      <c r="F158" s="499"/>
      <c r="G158" s="499"/>
      <c r="H158" s="499"/>
      <c r="I158" s="499"/>
      <c r="J158" s="499"/>
      <c r="K158" s="499"/>
      <c r="L158" s="499"/>
      <c r="M158" s="499"/>
      <c r="N158" s="499"/>
      <c r="O158" s="499"/>
      <c r="P158" s="540" t="s">
        <v>17628</v>
      </c>
      <c r="Q158" s="504" t="str">
        <f t="shared" si="8"/>
        <v>202001INV</v>
      </c>
    </row>
    <row r="159" spans="2:17">
      <c r="B159" s="499"/>
      <c r="C159" s="499"/>
      <c r="D159" s="499"/>
      <c r="E159" s="529"/>
      <c r="F159" s="499"/>
      <c r="G159" s="499"/>
      <c r="H159" s="499"/>
      <c r="I159" s="499"/>
      <c r="J159" s="499"/>
      <c r="K159" s="499"/>
      <c r="L159" s="499"/>
      <c r="M159" s="499"/>
      <c r="N159" s="499"/>
      <c r="O159" s="499"/>
      <c r="P159" s="540" t="s">
        <v>17628</v>
      </c>
      <c r="Q159" s="504" t="str">
        <f t="shared" si="8"/>
        <v>202001INV</v>
      </c>
    </row>
    <row r="160" spans="2:17">
      <c r="B160" s="499"/>
      <c r="C160" s="499"/>
      <c r="D160" s="499"/>
      <c r="E160" s="52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540" t="s">
        <v>17628</v>
      </c>
      <c r="Q160" s="504" t="str">
        <f t="shared" si="8"/>
        <v>202001INV</v>
      </c>
    </row>
    <row r="161" spans="2:17">
      <c r="B161" s="499"/>
      <c r="C161" s="499"/>
      <c r="D161" s="499"/>
      <c r="E161" s="52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540" t="s">
        <v>17628</v>
      </c>
      <c r="Q161" s="504" t="str">
        <f t="shared" si="8"/>
        <v>202001INV</v>
      </c>
    </row>
    <row r="162" spans="2:17">
      <c r="B162" s="499"/>
      <c r="C162" s="499"/>
      <c r="D162" s="499"/>
      <c r="E162" s="529"/>
      <c r="F162" s="499"/>
      <c r="G162" s="499"/>
      <c r="H162" s="499"/>
      <c r="I162" s="499"/>
      <c r="J162" s="499"/>
      <c r="K162" s="499"/>
      <c r="L162" s="499"/>
      <c r="M162" s="499"/>
      <c r="N162" s="499"/>
      <c r="O162" s="499"/>
      <c r="P162" s="540" t="s">
        <v>17628</v>
      </c>
      <c r="Q162" s="504" t="str">
        <f t="shared" si="8"/>
        <v>202001INV</v>
      </c>
    </row>
    <row r="163" spans="2:17">
      <c r="B163" s="499"/>
      <c r="C163" s="499"/>
      <c r="D163" s="499"/>
      <c r="E163" s="529"/>
      <c r="F163" s="499"/>
      <c r="G163" s="499"/>
      <c r="H163" s="499"/>
      <c r="I163" s="499"/>
      <c r="J163" s="499"/>
      <c r="K163" s="499"/>
      <c r="L163" s="499"/>
      <c r="M163" s="499"/>
      <c r="N163" s="499"/>
      <c r="O163" s="499"/>
      <c r="P163" s="540" t="s">
        <v>17628</v>
      </c>
      <c r="Q163" s="504" t="str">
        <f t="shared" si="8"/>
        <v>202001INV</v>
      </c>
    </row>
    <row r="164" spans="2:17">
      <c r="B164" s="499"/>
      <c r="C164" s="499"/>
      <c r="D164" s="499"/>
      <c r="E164" s="529"/>
      <c r="F164" s="499"/>
      <c r="G164" s="499"/>
      <c r="H164" s="499"/>
      <c r="I164" s="499"/>
      <c r="J164" s="499"/>
      <c r="K164" s="499"/>
      <c r="L164" s="499"/>
      <c r="M164" s="499"/>
      <c r="N164" s="499"/>
      <c r="O164" s="499"/>
      <c r="P164" s="540" t="s">
        <v>17628</v>
      </c>
      <c r="Q164" s="504" t="str">
        <f t="shared" si="8"/>
        <v>202001INV</v>
      </c>
    </row>
    <row r="165" spans="2:17">
      <c r="B165" s="499"/>
      <c r="C165" s="499"/>
      <c r="D165" s="499"/>
      <c r="E165" s="529"/>
      <c r="F165" s="499"/>
      <c r="G165" s="499"/>
      <c r="H165" s="499"/>
      <c r="I165" s="499"/>
      <c r="J165" s="499"/>
      <c r="K165" s="499"/>
      <c r="L165" s="499"/>
      <c r="M165" s="499"/>
      <c r="N165" s="499"/>
      <c r="O165" s="499"/>
      <c r="P165" s="540" t="s">
        <v>17628</v>
      </c>
      <c r="Q165" s="504" t="str">
        <f t="shared" si="8"/>
        <v>202001INV</v>
      </c>
    </row>
    <row r="166" spans="2:17">
      <c r="B166" s="499"/>
      <c r="C166" s="499"/>
      <c r="D166" s="499"/>
      <c r="E166" s="529"/>
      <c r="F166" s="499"/>
      <c r="G166" s="499"/>
      <c r="H166" s="499"/>
      <c r="I166" s="499"/>
      <c r="J166" s="499"/>
      <c r="K166" s="499"/>
      <c r="L166" s="499"/>
      <c r="M166" s="499"/>
      <c r="N166" s="499"/>
      <c r="O166" s="499"/>
      <c r="P166" s="540" t="s">
        <v>17628</v>
      </c>
      <c r="Q166" s="504" t="str">
        <f t="shared" si="8"/>
        <v>202001INV</v>
      </c>
    </row>
    <row r="167" spans="2:17">
      <c r="B167" s="499"/>
      <c r="C167" s="499"/>
      <c r="D167" s="499"/>
      <c r="E167" s="529"/>
      <c r="F167" s="499"/>
      <c r="G167" s="499"/>
      <c r="H167" s="499"/>
      <c r="I167" s="499"/>
      <c r="J167" s="499"/>
      <c r="K167" s="499"/>
      <c r="L167" s="499"/>
      <c r="M167" s="499"/>
      <c r="N167" s="499"/>
      <c r="O167" s="499"/>
      <c r="P167" s="540" t="s">
        <v>17628</v>
      </c>
      <c r="Q167" s="504" t="str">
        <f t="shared" si="8"/>
        <v>202001INV</v>
      </c>
    </row>
    <row r="168" spans="2:17">
      <c r="B168" s="499"/>
      <c r="C168" s="499"/>
      <c r="D168" s="499"/>
      <c r="E168" s="529"/>
      <c r="F168" s="499"/>
      <c r="G168" s="499"/>
      <c r="H168" s="499"/>
      <c r="I168" s="499"/>
      <c r="J168" s="499"/>
      <c r="K168" s="499"/>
      <c r="L168" s="499"/>
      <c r="M168" s="499"/>
      <c r="N168" s="499"/>
      <c r="O168" s="499"/>
      <c r="P168" s="540" t="s">
        <v>17628</v>
      </c>
      <c r="Q168" s="504" t="str">
        <f t="shared" si="8"/>
        <v>202001INV</v>
      </c>
    </row>
    <row r="169" spans="2:17">
      <c r="B169" s="499"/>
      <c r="C169" s="499"/>
      <c r="D169" s="499"/>
      <c r="E169" s="529"/>
      <c r="F169" s="499"/>
      <c r="G169" s="499"/>
      <c r="H169" s="499"/>
      <c r="I169" s="499"/>
      <c r="J169" s="499"/>
      <c r="K169" s="499"/>
      <c r="L169" s="499"/>
      <c r="M169" s="499"/>
      <c r="N169" s="499"/>
      <c r="O169" s="499"/>
      <c r="P169" s="540" t="s">
        <v>17628</v>
      </c>
      <c r="Q169" s="504" t="str">
        <f t="shared" si="8"/>
        <v>202001INV</v>
      </c>
    </row>
    <row r="170" spans="2:17">
      <c r="B170" s="499"/>
      <c r="C170" s="499"/>
      <c r="D170" s="499"/>
      <c r="E170" s="529"/>
      <c r="F170" s="499"/>
      <c r="G170" s="499"/>
      <c r="H170" s="499"/>
      <c r="I170" s="499"/>
      <c r="J170" s="499"/>
      <c r="K170" s="499"/>
      <c r="L170" s="499"/>
      <c r="M170" s="499"/>
      <c r="N170" s="499"/>
      <c r="O170" s="499"/>
      <c r="P170" s="540" t="s">
        <v>17628</v>
      </c>
      <c r="Q170" s="504" t="str">
        <f t="shared" si="8"/>
        <v>202001INV</v>
      </c>
    </row>
    <row r="171" spans="2:17">
      <c r="B171" s="499"/>
      <c r="C171" s="499"/>
      <c r="D171" s="499"/>
      <c r="E171" s="529"/>
      <c r="F171" s="499"/>
      <c r="G171" s="499"/>
      <c r="H171" s="499"/>
      <c r="I171" s="499"/>
      <c r="J171" s="499"/>
      <c r="K171" s="499"/>
      <c r="L171" s="499"/>
      <c r="M171" s="499"/>
      <c r="N171" s="499"/>
      <c r="O171" s="499"/>
      <c r="P171" s="540" t="s">
        <v>17628</v>
      </c>
      <c r="Q171" s="504" t="str">
        <f t="shared" si="8"/>
        <v>202001INV</v>
      </c>
    </row>
    <row r="172" spans="2:17">
      <c r="B172" s="499"/>
      <c r="C172" s="499"/>
      <c r="D172" s="499"/>
      <c r="E172" s="529"/>
      <c r="F172" s="499"/>
      <c r="G172" s="499"/>
      <c r="H172" s="499"/>
      <c r="I172" s="499"/>
      <c r="J172" s="499"/>
      <c r="K172" s="499"/>
      <c r="L172" s="499"/>
      <c r="M172" s="499"/>
      <c r="N172" s="499"/>
      <c r="O172" s="499"/>
      <c r="P172" s="540" t="s">
        <v>17628</v>
      </c>
      <c r="Q172" s="504" t="str">
        <f t="shared" si="8"/>
        <v>202001INV</v>
      </c>
    </row>
    <row r="173" spans="2:17">
      <c r="B173" s="499"/>
      <c r="C173" s="499"/>
      <c r="D173" s="499"/>
      <c r="E173" s="529"/>
      <c r="F173" s="499"/>
      <c r="G173" s="499"/>
      <c r="H173" s="499"/>
      <c r="I173" s="499"/>
      <c r="J173" s="499"/>
      <c r="K173" s="499"/>
      <c r="L173" s="499"/>
      <c r="M173" s="499"/>
      <c r="N173" s="499"/>
      <c r="O173" s="499"/>
      <c r="P173" s="540" t="s">
        <v>17628</v>
      </c>
      <c r="Q173" s="504" t="str">
        <f t="shared" si="8"/>
        <v>202001INV</v>
      </c>
    </row>
    <row r="177" spans="19:19">
      <c r="S177" s="149">
        <f>'3-MO04-EN01-échantillonnage'!P97</f>
        <v>4</v>
      </c>
    </row>
  </sheetData>
  <sheetProtection algorithmName="SHA-512" hashValue="PWdkG1CDOPh9wX9rioudYIV1nwoHXec44W0vDL8N2rniBvp3m6F+6C4VSecTaqOsrMRo5ZnV8qZ2m/gzBr0cfg==" saltValue="0MaowqBHzCyMqdp8b+SetQ==" spinCount="100000" sheet="1" objects="1" scenarios="1"/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U1" workbookViewId="0">
      <selection activeCell="AB5" sqref="AB5"/>
    </sheetView>
  </sheetViews>
  <sheetFormatPr baseColWidth="10" defaultColWidth="11.42578125" defaultRowHeight="12.75"/>
  <cols>
    <col min="1" max="1" width="30.5703125" style="155" customWidth="1"/>
    <col min="2" max="2" width="28.85546875" style="155" customWidth="1"/>
    <col min="3" max="3" width="39.5703125" style="155" customWidth="1"/>
    <col min="4" max="6" width="47.85546875" style="155" customWidth="1"/>
    <col min="7" max="8" width="24.140625" style="155" customWidth="1"/>
    <col min="9" max="9" width="38.7109375" style="155" customWidth="1"/>
    <col min="10" max="10" width="48" style="155" customWidth="1"/>
    <col min="11" max="11" width="12" style="155" bestFit="1" customWidth="1"/>
    <col min="12" max="12" width="12.85546875" style="155" bestFit="1" customWidth="1"/>
    <col min="13" max="14" width="11.42578125" style="155"/>
    <col min="15" max="15" width="15.28515625" style="155" bestFit="1" customWidth="1"/>
    <col min="16" max="19" width="11.42578125" style="155"/>
    <col min="20" max="20" width="32.5703125" style="155" customWidth="1"/>
    <col min="21" max="21" width="23.85546875" style="155" customWidth="1"/>
    <col min="22" max="22" width="14.5703125" style="155" bestFit="1" customWidth="1"/>
    <col min="23" max="23" width="29.42578125" style="155" bestFit="1" customWidth="1"/>
    <col min="24" max="24" width="38.42578125" style="155" bestFit="1" customWidth="1"/>
    <col min="25" max="25" width="17.28515625" style="155" bestFit="1" customWidth="1"/>
    <col min="26" max="26" width="17.42578125" style="155" bestFit="1" customWidth="1"/>
    <col min="27" max="16384" width="11.42578125" style="155"/>
  </cols>
  <sheetData>
    <row r="1" spans="1:29">
      <c r="A1" s="155" t="s">
        <v>17993</v>
      </c>
      <c r="B1" s="155" t="s">
        <v>17992</v>
      </c>
      <c r="C1" s="155" t="s">
        <v>17991</v>
      </c>
      <c r="D1" s="155" t="s">
        <v>17990</v>
      </c>
      <c r="E1" s="155" t="s">
        <v>18225</v>
      </c>
      <c r="F1" s="155" t="s">
        <v>18226</v>
      </c>
      <c r="G1" s="155" t="s">
        <v>17989</v>
      </c>
      <c r="H1" s="155" t="s">
        <v>17988</v>
      </c>
      <c r="I1" s="155" t="s">
        <v>17987</v>
      </c>
      <c r="J1" s="155" t="s">
        <v>17986</v>
      </c>
      <c r="K1" s="155" t="s">
        <v>17985</v>
      </c>
      <c r="L1" s="155" t="s">
        <v>17984</v>
      </c>
      <c r="M1" s="155" t="s">
        <v>17983</v>
      </c>
      <c r="N1" s="155" t="s">
        <v>17982</v>
      </c>
      <c r="O1" s="155" t="s">
        <v>17981</v>
      </c>
      <c r="P1" s="155" t="s">
        <v>17980</v>
      </c>
      <c r="Q1" s="155" t="s">
        <v>17979</v>
      </c>
      <c r="R1" s="155" t="s">
        <v>17978</v>
      </c>
      <c r="S1" s="155" t="s">
        <v>17977</v>
      </c>
      <c r="T1" s="155" t="s">
        <v>17976</v>
      </c>
      <c r="U1" s="155" t="s">
        <v>17975</v>
      </c>
      <c r="V1" s="155" t="s">
        <v>17974</v>
      </c>
      <c r="W1" s="155" t="s">
        <v>17973</v>
      </c>
      <c r="X1" s="155" t="s">
        <v>17972</v>
      </c>
      <c r="Y1" s="155" t="s">
        <v>17971</v>
      </c>
      <c r="Z1" s="155" t="s">
        <v>17970</v>
      </c>
      <c r="AA1" s="155" t="s">
        <v>18174</v>
      </c>
      <c r="AB1" s="155" t="s">
        <v>18169</v>
      </c>
      <c r="AC1" s="155" t="s">
        <v>18164</v>
      </c>
    </row>
    <row r="2" spans="1:29" ht="15">
      <c r="A2" s="155" t="s">
        <v>17969</v>
      </c>
      <c r="B2" s="155" t="s">
        <v>17968</v>
      </c>
      <c r="C2" s="155" t="s">
        <v>17967</v>
      </c>
      <c r="D2" s="155" t="s">
        <v>17966</v>
      </c>
      <c r="E2" s="155" t="s">
        <v>18223</v>
      </c>
      <c r="F2" s="366" t="s">
        <v>18221</v>
      </c>
      <c r="G2" s="155" t="s">
        <v>17965</v>
      </c>
      <c r="H2" s="155" t="s">
        <v>17964</v>
      </c>
      <c r="I2" s="155" t="s">
        <v>17963</v>
      </c>
      <c r="J2" s="155" t="s">
        <v>17962</v>
      </c>
      <c r="K2" s="156"/>
      <c r="N2" s="159">
        <f ca="1">TODAY()</f>
        <v>44609</v>
      </c>
      <c r="O2" s="158">
        <f ca="1">NOW()</f>
        <v>44609.696916435183</v>
      </c>
      <c r="P2" s="157" t="s">
        <v>17959</v>
      </c>
      <c r="Q2" s="155" t="s">
        <v>17958</v>
      </c>
      <c r="R2" s="155" t="s">
        <v>17957</v>
      </c>
      <c r="S2" s="155" t="s">
        <v>17956</v>
      </c>
      <c r="T2" s="155" t="s">
        <v>17955</v>
      </c>
      <c r="U2" s="155" t="s">
        <v>17955</v>
      </c>
      <c r="V2" s="155" t="s">
        <v>17954</v>
      </c>
      <c r="W2" s="155" t="s">
        <v>17922</v>
      </c>
      <c r="X2" s="155" t="s">
        <v>17953</v>
      </c>
      <c r="Y2" s="155" t="s">
        <v>17952</v>
      </c>
      <c r="Z2" s="155" t="s">
        <v>17951</v>
      </c>
      <c r="AA2" s="156" t="s">
        <v>18227</v>
      </c>
      <c r="AB2" s="156" t="s">
        <v>18596</v>
      </c>
      <c r="AC2" s="156" t="s">
        <v>17628</v>
      </c>
    </row>
    <row r="3" spans="1:29" ht="15">
      <c r="A3" s="155" t="s">
        <v>17950</v>
      </c>
      <c r="B3" s="155" t="s">
        <v>17949</v>
      </c>
      <c r="C3" s="155" t="s">
        <v>17948</v>
      </c>
      <c r="D3" s="155" t="s">
        <v>17947</v>
      </c>
      <c r="E3" s="155" t="s">
        <v>18224</v>
      </c>
      <c r="F3" s="366" t="s">
        <v>18222</v>
      </c>
      <c r="G3" s="155" t="s">
        <v>17946</v>
      </c>
      <c r="H3" s="155" t="s">
        <v>17945</v>
      </c>
      <c r="I3" s="155" t="s">
        <v>17944</v>
      </c>
      <c r="J3" s="155" t="s">
        <v>17943</v>
      </c>
      <c r="K3" s="156" t="s">
        <v>17961</v>
      </c>
      <c r="L3" s="155">
        <v>1</v>
      </c>
      <c r="M3" s="155" t="s">
        <v>17960</v>
      </c>
      <c r="Q3" s="155" t="s">
        <v>17940</v>
      </c>
      <c r="R3" s="155" t="s">
        <v>17939</v>
      </c>
      <c r="S3" s="155" t="s">
        <v>17938</v>
      </c>
      <c r="T3" s="155" t="s">
        <v>17937</v>
      </c>
      <c r="U3" s="155" t="s">
        <v>17936</v>
      </c>
      <c r="V3" s="155" t="s">
        <v>73</v>
      </c>
      <c r="X3" s="155" t="s">
        <v>17935</v>
      </c>
      <c r="Y3" s="155" t="s">
        <v>17934</v>
      </c>
      <c r="Z3" s="155" t="s">
        <v>17933</v>
      </c>
      <c r="AA3" s="156" t="s">
        <v>17628</v>
      </c>
      <c r="AB3" s="156" t="s">
        <v>17628</v>
      </c>
      <c r="AC3" s="156" t="s">
        <v>18228</v>
      </c>
    </row>
    <row r="4" spans="1:29">
      <c r="A4" s="191" t="s">
        <v>18439</v>
      </c>
      <c r="B4" s="191" t="s">
        <v>18439</v>
      </c>
      <c r="G4" s="155" t="s">
        <v>17918</v>
      </c>
      <c r="H4" s="155" t="s">
        <v>17917</v>
      </c>
      <c r="I4" s="155" t="s">
        <v>17932</v>
      </c>
      <c r="J4" s="155" t="s">
        <v>17931</v>
      </c>
      <c r="K4" s="156" t="s">
        <v>17942</v>
      </c>
      <c r="L4" s="155">
        <v>2</v>
      </c>
      <c r="M4" s="155" t="s">
        <v>17941</v>
      </c>
      <c r="Q4" s="155" t="s">
        <v>17928</v>
      </c>
      <c r="R4" s="155" t="s">
        <v>17927</v>
      </c>
      <c r="S4" s="155" t="s">
        <v>17926</v>
      </c>
      <c r="T4" s="155" t="s">
        <v>17925</v>
      </c>
      <c r="U4" s="155" t="s">
        <v>17924</v>
      </c>
      <c r="V4" s="155" t="s">
        <v>17923</v>
      </c>
      <c r="X4" s="155" t="s">
        <v>17921</v>
      </c>
      <c r="Y4" s="155" t="s">
        <v>17920</v>
      </c>
      <c r="Z4" s="155" t="s">
        <v>17919</v>
      </c>
      <c r="AA4" s="156" t="s">
        <v>18229</v>
      </c>
      <c r="AB4" s="588" t="s">
        <v>18228</v>
      </c>
    </row>
    <row r="5" spans="1:29">
      <c r="G5" s="155" t="s">
        <v>17910</v>
      </c>
      <c r="H5" s="155" t="s">
        <v>17909</v>
      </c>
      <c r="K5" s="156" t="s">
        <v>17930</v>
      </c>
      <c r="L5" s="155">
        <v>3</v>
      </c>
      <c r="M5" s="155" t="s">
        <v>17929</v>
      </c>
      <c r="Q5" s="155" t="s">
        <v>17915</v>
      </c>
      <c r="R5" s="155" t="s">
        <v>17914</v>
      </c>
      <c r="S5" s="155" t="s">
        <v>17913</v>
      </c>
      <c r="T5" s="155" t="s">
        <v>17912</v>
      </c>
      <c r="U5" s="155" t="s">
        <v>17911</v>
      </c>
      <c r="Y5" s="155" t="s">
        <v>18728</v>
      </c>
      <c r="AA5" s="156" t="s">
        <v>18624</v>
      </c>
      <c r="AB5" s="588" t="s">
        <v>18729</v>
      </c>
    </row>
    <row r="6" spans="1:29">
      <c r="G6" s="155" t="s">
        <v>17906</v>
      </c>
      <c r="H6" s="155" t="s">
        <v>17905</v>
      </c>
      <c r="K6" s="156" t="s">
        <v>17916</v>
      </c>
      <c r="L6" s="155">
        <v>4</v>
      </c>
      <c r="T6" s="155" t="s">
        <v>17908</v>
      </c>
      <c r="U6" s="155" t="s">
        <v>17907</v>
      </c>
      <c r="AA6" s="156" t="s">
        <v>18725</v>
      </c>
    </row>
    <row r="7" spans="1:29">
      <c r="G7" s="155" t="s">
        <v>17904</v>
      </c>
      <c r="H7" s="155" t="s">
        <v>17903</v>
      </c>
      <c r="L7" s="155">
        <v>5</v>
      </c>
    </row>
    <row r="8" spans="1:29">
      <c r="L8" s="155">
        <v>6</v>
      </c>
    </row>
    <row r="9" spans="1:29">
      <c r="L9" s="155">
        <v>7</v>
      </c>
    </row>
    <row r="10" spans="1:29">
      <c r="L10" s="155">
        <v>8</v>
      </c>
    </row>
    <row r="11" spans="1:29">
      <c r="L11" s="155">
        <v>9</v>
      </c>
    </row>
    <row r="12" spans="1:29">
      <c r="L12" s="155">
        <v>10</v>
      </c>
    </row>
    <row r="13" spans="1:29">
      <c r="L13" s="155">
        <v>11</v>
      </c>
    </row>
    <row r="14" spans="1:29">
      <c r="L14" s="155">
        <v>12</v>
      </c>
    </row>
    <row r="51" spans="18:18">
      <c r="R51" s="155" t="s">
        <v>17902</v>
      </c>
    </row>
  </sheetData>
  <sheetProtection algorithmName="SHA-512" hashValue="w2CcQj8ql2oDJPWAfodRBDb6vztHo4LdJkVs6xfFH33se/4w9RYJ8DgVTnjeob3BUVumJVRp5YwfvpHVBa9X8A==" saltValue="lfIlcr5M1YJEVWrMEGiVhA==" spinCount="100000" sheet="1" objects="1" scenarios="1"/>
  <hyperlinks>
    <hyperlink ref="F3" r:id="rId1"/>
    <hyperlink ref="F2" r:id="rId2"/>
  </hyperlinks>
  <pageMargins left="0.7" right="0.7" top="0.75" bottom="0.75" header="0.3" footer="0.3"/>
  <pageSetup paperSize="9"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Q458"/>
  <sheetViews>
    <sheetView topLeftCell="A166" zoomScaleNormal="100" workbookViewId="0">
      <selection activeCell="M189" sqref="M189"/>
    </sheetView>
  </sheetViews>
  <sheetFormatPr baseColWidth="10" defaultColWidth="9.140625" defaultRowHeight="12.75"/>
  <cols>
    <col min="1" max="1005" width="9.140625" style="434"/>
    <col min="1006" max="16384" width="9.140625" style="416"/>
  </cols>
  <sheetData>
    <row r="1" spans="1:11" ht="12.75" customHeight="1">
      <c r="A1" s="416"/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12.75" customHeight="1">
      <c r="A2" s="416"/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11" ht="12.75" customHeight="1">
      <c r="A3" s="435"/>
      <c r="B3" s="436" t="s">
        <v>6156</v>
      </c>
      <c r="C3" s="436" t="s">
        <v>17994</v>
      </c>
      <c r="D3" s="436" t="s">
        <v>59</v>
      </c>
      <c r="E3" s="436" t="s">
        <v>6155</v>
      </c>
      <c r="F3" s="436" t="s">
        <v>62</v>
      </c>
      <c r="G3" s="436" t="s">
        <v>66</v>
      </c>
      <c r="H3" s="436" t="s">
        <v>70</v>
      </c>
      <c r="I3" s="436" t="s">
        <v>74</v>
      </c>
      <c r="J3" s="436" t="s">
        <v>78</v>
      </c>
      <c r="K3" s="416"/>
    </row>
    <row r="4" spans="1:11" ht="12.75" customHeight="1">
      <c r="A4" s="437"/>
      <c r="B4" s="438">
        <f>INDEX(plan,1,1)</f>
        <v>0</v>
      </c>
      <c r="C4" s="439" t="str">
        <f t="shared" ref="C4:C16" si="0">IF(B4=0,"","S1")</f>
        <v/>
      </c>
      <c r="D4" s="439" t="str">
        <f>IF(B4=0,"","N6")</f>
        <v/>
      </c>
      <c r="E4" s="439" t="str">
        <f>IF(B4=0,"",'3-MO04-EN01-échantillonnage'!I$29)</f>
        <v/>
      </c>
      <c r="F4" s="439" t="s">
        <v>17636</v>
      </c>
      <c r="G4" s="439" t="s">
        <v>17636</v>
      </c>
      <c r="H4" s="439"/>
      <c r="I4" s="439" t="s">
        <v>17636</v>
      </c>
      <c r="J4" s="440"/>
      <c r="K4" s="441"/>
    </row>
    <row r="5" spans="1:11" s="434" customFormat="1" ht="12.75" customHeight="1">
      <c r="A5" s="442"/>
      <c r="B5" s="443">
        <f>INDEX(plan,1,2)</f>
        <v>0</v>
      </c>
      <c r="C5" s="444" t="str">
        <f t="shared" si="0"/>
        <v/>
      </c>
      <c r="D5" s="444" t="str">
        <f t="shared" ref="D5:D7" si="1">IF(B5=0,"","N6")</f>
        <v/>
      </c>
      <c r="E5" s="444" t="str">
        <f>IF(B5=0,"",'3-MO04-EN01-échantillonnage'!J$29)</f>
        <v/>
      </c>
      <c r="F5" s="444" t="s">
        <v>17636</v>
      </c>
      <c r="G5" s="444" t="s">
        <v>17636</v>
      </c>
      <c r="H5" s="444"/>
      <c r="I5" s="444" t="s">
        <v>17636</v>
      </c>
      <c r="J5" s="445"/>
      <c r="K5" s="441"/>
    </row>
    <row r="6" spans="1:11" s="434" customFormat="1" ht="12.75" customHeight="1">
      <c r="A6" s="442"/>
      <c r="B6" s="443">
        <f>INDEX(plan,1,3)</f>
        <v>0</v>
      </c>
      <c r="C6" s="444" t="str">
        <f t="shared" si="0"/>
        <v/>
      </c>
      <c r="D6" s="444" t="str">
        <f t="shared" si="1"/>
        <v/>
      </c>
      <c r="E6" s="444" t="str">
        <f>IF(B6=0,"",'3-MO04-EN01-échantillonnage'!K$29)</f>
        <v/>
      </c>
      <c r="F6" s="444"/>
      <c r="G6" s="444"/>
      <c r="H6" s="444"/>
      <c r="I6" s="444"/>
      <c r="J6" s="445"/>
      <c r="K6" s="441"/>
    </row>
    <row r="7" spans="1:11" s="434" customFormat="1" ht="12.75" customHeight="1">
      <c r="A7" s="446"/>
      <c r="B7" s="447">
        <f>INDEX(plan,2,3)</f>
        <v>0</v>
      </c>
      <c r="C7" s="448" t="str">
        <f t="shared" si="0"/>
        <v/>
      </c>
      <c r="D7" s="448" t="str">
        <f t="shared" si="1"/>
        <v/>
      </c>
      <c r="E7" s="448" t="str">
        <f>IF(B7=0,"",'3-MO04-EN01-échantillonnage'!K$30)</f>
        <v/>
      </c>
      <c r="F7" s="448" t="s">
        <v>17636</v>
      </c>
      <c r="G7" s="448" t="s">
        <v>17636</v>
      </c>
      <c r="H7" s="448"/>
      <c r="I7" s="448" t="s">
        <v>17636</v>
      </c>
      <c r="J7" s="449"/>
      <c r="K7" s="450"/>
    </row>
    <row r="8" spans="1:11" s="434" customFormat="1" ht="12.75" customHeight="1">
      <c r="A8" s="442"/>
      <c r="B8" s="438">
        <f>INDEX(plan,1,4)</f>
        <v>0</v>
      </c>
      <c r="C8" s="439" t="str">
        <f t="shared" si="0"/>
        <v/>
      </c>
      <c r="D8" s="439" t="str">
        <f>IF(B8=0,"","N5")</f>
        <v/>
      </c>
      <c r="E8" s="439" t="str">
        <f>IF(B8=0,"",'3-MO04-EN01-échantillonnage'!L$29)</f>
        <v/>
      </c>
      <c r="F8" s="439" t="s">
        <v>17636</v>
      </c>
      <c r="G8" s="439" t="s">
        <v>17636</v>
      </c>
      <c r="H8" s="439"/>
      <c r="I8" s="439" t="s">
        <v>17636</v>
      </c>
      <c r="J8" s="440"/>
      <c r="K8" s="450"/>
    </row>
    <row r="9" spans="1:11" s="434" customFormat="1" ht="12.75" customHeight="1">
      <c r="A9" s="442"/>
      <c r="B9" s="443">
        <f>INDEX(plan,1,5)</f>
        <v>1</v>
      </c>
      <c r="C9" s="444" t="str">
        <f>IF(B9=0,"","S1")</f>
        <v>S1</v>
      </c>
      <c r="D9" s="444" t="str">
        <f>IF(B9=0,"","N5")</f>
        <v>N5</v>
      </c>
      <c r="E9" s="444" t="str">
        <f>IF(B9=0,"",'3-MO04-EN01-échantillonnage'!M$29)</f>
        <v>PhA</v>
      </c>
      <c r="F9" s="444" t="s">
        <v>17636</v>
      </c>
      <c r="G9" s="444" t="s">
        <v>17636</v>
      </c>
      <c r="H9" s="444"/>
      <c r="I9" s="444" t="s">
        <v>17636</v>
      </c>
      <c r="J9" s="445"/>
      <c r="K9" s="450"/>
    </row>
    <row r="10" spans="1:11" s="434" customFormat="1" ht="12.75" customHeight="1">
      <c r="A10" s="442"/>
      <c r="B10" s="443">
        <f>INDEX(plan,1,6)</f>
        <v>0</v>
      </c>
      <c r="C10" s="444" t="str">
        <f>IF(B10=0,"","S1")</f>
        <v/>
      </c>
      <c r="D10" s="444" t="str">
        <f>IF(B10=0,"","N5")</f>
        <v/>
      </c>
      <c r="E10" s="444" t="str">
        <f>IF(B10=0,"",'3-MO04-EN01-échantillonnage'!N$29)</f>
        <v/>
      </c>
      <c r="F10" s="444"/>
      <c r="G10" s="444"/>
      <c r="H10" s="444"/>
      <c r="I10" s="444"/>
      <c r="J10" s="445"/>
      <c r="K10" s="450"/>
    </row>
    <row r="11" spans="1:11" s="434" customFormat="1" ht="12.75" customHeight="1">
      <c r="A11" s="442"/>
      <c r="B11" s="447">
        <f>INDEX(plan,2,6)</f>
        <v>0</v>
      </c>
      <c r="C11" s="448" t="str">
        <f>IF(B11=0,"","S1")</f>
        <v/>
      </c>
      <c r="D11" s="448" t="str">
        <f>IF(B10=0,"","N5")</f>
        <v/>
      </c>
      <c r="E11" s="448" t="str">
        <f>IF(B10=0,"",'3-MO04-EN01-échantillonnage'!N$29)</f>
        <v/>
      </c>
      <c r="F11" s="448" t="s">
        <v>17636</v>
      </c>
      <c r="G11" s="448" t="s">
        <v>17636</v>
      </c>
      <c r="H11" s="448"/>
      <c r="I11" s="448" t="s">
        <v>17636</v>
      </c>
      <c r="J11" s="449"/>
      <c r="K11" s="450"/>
    </row>
    <row r="12" spans="1:11" s="434" customFormat="1" ht="12.75" customHeight="1">
      <c r="A12" s="442"/>
      <c r="B12" s="438">
        <f>INDEX(plan,1,7)</f>
        <v>0</v>
      </c>
      <c r="C12" s="439" t="str">
        <f t="shared" si="0"/>
        <v/>
      </c>
      <c r="D12" s="439" t="str">
        <f>IF(B12=0,"","N3")</f>
        <v/>
      </c>
      <c r="E12" s="439" t="str">
        <f>IF(B12=0,"",'3-MO04-EN01-échantillonnage'!O$29)</f>
        <v/>
      </c>
      <c r="F12" s="439" t="s">
        <v>17636</v>
      </c>
      <c r="G12" s="439" t="s">
        <v>17636</v>
      </c>
      <c r="H12" s="439"/>
      <c r="I12" s="439" t="s">
        <v>17636</v>
      </c>
      <c r="J12" s="440"/>
      <c r="K12" s="450"/>
    </row>
    <row r="13" spans="1:11" s="434" customFormat="1" ht="12.75" customHeight="1">
      <c r="A13" s="442" t="s">
        <v>17995</v>
      </c>
      <c r="B13" s="443">
        <f>INDEX(plan,1,8)</f>
        <v>0</v>
      </c>
      <c r="C13" s="444" t="str">
        <f t="shared" ref="C13:C15" si="2">IF(B13=0,"","S1")</f>
        <v/>
      </c>
      <c r="D13" s="444" t="str">
        <f t="shared" ref="D13:D15" si="3">IF(B13=0,"","N3")</f>
        <v/>
      </c>
      <c r="E13" s="444" t="str">
        <f>IF(B13=0,"",'3-MO04-EN01-échantillonnage'!P$29)</f>
        <v/>
      </c>
      <c r="F13" s="444" t="s">
        <v>17636</v>
      </c>
      <c r="G13" s="444" t="s">
        <v>17636</v>
      </c>
      <c r="H13" s="444"/>
      <c r="I13" s="444" t="s">
        <v>17636</v>
      </c>
      <c r="J13" s="445"/>
      <c r="K13" s="450"/>
    </row>
    <row r="14" spans="1:11" s="434" customFormat="1" ht="12.75" customHeight="1">
      <c r="A14" s="442"/>
      <c r="B14" s="443">
        <f>INDEX(plan,1,9)</f>
        <v>0</v>
      </c>
      <c r="C14" s="444" t="str">
        <f t="shared" si="2"/>
        <v/>
      </c>
      <c r="D14" s="444" t="str">
        <f t="shared" si="3"/>
        <v/>
      </c>
      <c r="E14" s="444" t="str">
        <f>IF(B14=0,"",'3-MO04-EN01-échantillonnage'!Q$29)</f>
        <v/>
      </c>
      <c r="F14" s="444"/>
      <c r="G14" s="444"/>
      <c r="H14" s="444"/>
      <c r="I14" s="444"/>
      <c r="J14" s="445"/>
      <c r="K14" s="450"/>
    </row>
    <row r="15" spans="1:11" s="434" customFormat="1" ht="12.75" customHeight="1">
      <c r="A15" s="442"/>
      <c r="B15" s="447">
        <f>INDEX(plan,2,9)</f>
        <v>0</v>
      </c>
      <c r="C15" s="448" t="str">
        <f t="shared" si="2"/>
        <v/>
      </c>
      <c r="D15" s="448" t="str">
        <f t="shared" si="3"/>
        <v/>
      </c>
      <c r="E15" s="448" t="str">
        <f>IF(B15=0,"",'3-MO04-EN01-échantillonnage'!Q$30)</f>
        <v/>
      </c>
      <c r="F15" s="448" t="s">
        <v>17636</v>
      </c>
      <c r="G15" s="448" t="s">
        <v>17636</v>
      </c>
      <c r="H15" s="448"/>
      <c r="I15" s="448" t="s">
        <v>17636</v>
      </c>
      <c r="J15" s="449"/>
      <c r="K15" s="450"/>
    </row>
    <row r="16" spans="1:11" s="434" customFormat="1" ht="12.75" customHeight="1">
      <c r="A16" s="442"/>
      <c r="B16" s="438">
        <f>INDEX(plan,1,10)</f>
        <v>0</v>
      </c>
      <c r="C16" s="439" t="str">
        <f t="shared" si="0"/>
        <v/>
      </c>
      <c r="D16" s="439" t="str">
        <f>IF(B16=0,"","N1")</f>
        <v/>
      </c>
      <c r="E16" s="439" t="str">
        <f>IF(B16=0,"",'3-MO04-EN01-échantillonnage'!R$29)</f>
        <v/>
      </c>
      <c r="F16" s="439" t="s">
        <v>17636</v>
      </c>
      <c r="G16" s="439" t="s">
        <v>17636</v>
      </c>
      <c r="H16" s="439"/>
      <c r="I16" s="439" t="s">
        <v>17636</v>
      </c>
      <c r="J16" s="440"/>
      <c r="K16" s="450"/>
    </row>
    <row r="17" spans="1:11" s="434" customFormat="1" ht="12.75" customHeight="1">
      <c r="A17" s="442"/>
      <c r="B17" s="443">
        <f>INDEX(plan,1,11)</f>
        <v>0</v>
      </c>
      <c r="C17" s="444" t="str">
        <f t="shared" ref="C17:C19" si="4">IF(B17=0,"","S1")</f>
        <v/>
      </c>
      <c r="D17" s="444" t="str">
        <f t="shared" ref="D17:D19" si="5">IF(B17=0,"","N1")</f>
        <v/>
      </c>
      <c r="E17" s="444" t="str">
        <f>IF(B17=0,"",'3-MO04-EN01-échantillonnage'!S$29)</f>
        <v/>
      </c>
      <c r="F17" s="444" t="s">
        <v>17636</v>
      </c>
      <c r="G17" s="444" t="s">
        <v>17636</v>
      </c>
      <c r="H17" s="444"/>
      <c r="I17" s="444" t="s">
        <v>17636</v>
      </c>
      <c r="J17" s="445"/>
      <c r="K17" s="450"/>
    </row>
    <row r="18" spans="1:11" s="434" customFormat="1" ht="12.75" customHeight="1">
      <c r="A18" s="442"/>
      <c r="B18" s="443">
        <f>INDEX(plan,1,12)</f>
        <v>0</v>
      </c>
      <c r="C18" s="444" t="str">
        <f t="shared" si="4"/>
        <v/>
      </c>
      <c r="D18" s="444" t="str">
        <f t="shared" si="5"/>
        <v/>
      </c>
      <c r="E18" s="444" t="str">
        <f>IF(B18=0,"",'3-MO04-EN01-échantillonnage'!T$29)</f>
        <v/>
      </c>
      <c r="F18" s="444"/>
      <c r="G18" s="444"/>
      <c r="H18" s="444"/>
      <c r="I18" s="444"/>
      <c r="J18" s="445"/>
      <c r="K18" s="450"/>
    </row>
    <row r="19" spans="1:11" s="434" customFormat="1" ht="12.75" customHeight="1">
      <c r="A19" s="451"/>
      <c r="B19" s="447">
        <f>INDEX(plan,2,12)</f>
        <v>0</v>
      </c>
      <c r="C19" s="448" t="str">
        <f t="shared" si="4"/>
        <v/>
      </c>
      <c r="D19" s="448" t="str">
        <f t="shared" si="5"/>
        <v/>
      </c>
      <c r="E19" s="448" t="str">
        <f>IF(B19=0,"",'3-MO04-EN01-échantillonnage'!T$30)</f>
        <v/>
      </c>
      <c r="F19" s="448" t="s">
        <v>17636</v>
      </c>
      <c r="G19" s="448" t="s">
        <v>17636</v>
      </c>
      <c r="H19" s="448"/>
      <c r="I19" s="448" t="s">
        <v>17636</v>
      </c>
      <c r="J19" s="449"/>
      <c r="K19" s="450"/>
    </row>
    <row r="20" spans="1:11" s="434" customFormat="1" ht="12.75" customHeight="1">
      <c r="A20" s="437"/>
      <c r="B20" s="438">
        <f>INDEX(plan,7,1)</f>
        <v>0</v>
      </c>
      <c r="C20" s="439" t="str">
        <f t="shared" ref="C20:C32" si="6">IF(B20=0,"","S2")</f>
        <v/>
      </c>
      <c r="D20" s="439" t="str">
        <f>IF(B20=0,"","N6")</f>
        <v/>
      </c>
      <c r="E20" s="439" t="str">
        <f>IF(B20=0,"",'3-MO04-EN01-échantillonnage'!I$35)</f>
        <v/>
      </c>
      <c r="F20" s="439" t="str">
        <f>IF(B20=0,"",'3-MO04-EN01-échantillonnage'!I$35)</f>
        <v/>
      </c>
      <c r="G20" s="439" t="s">
        <v>17636</v>
      </c>
      <c r="H20" s="439"/>
      <c r="I20" s="439" t="s">
        <v>17636</v>
      </c>
      <c r="J20" s="440"/>
      <c r="K20" s="450"/>
    </row>
    <row r="21" spans="1:11" s="434" customFormat="1" ht="12.75" customHeight="1">
      <c r="A21" s="442"/>
      <c r="B21" s="443">
        <f>INDEX(plan,7,2)</f>
        <v>0</v>
      </c>
      <c r="C21" s="444" t="str">
        <f t="shared" ref="C21:C23" si="7">IF(B21=0,"","S2")</f>
        <v/>
      </c>
      <c r="D21" s="444" t="str">
        <f t="shared" ref="D21:D23" si="8">IF(B21=0,"","N6")</f>
        <v/>
      </c>
      <c r="E21" s="444" t="str">
        <f>IF(B21=0,"",'3-MO04-EN01-échantillonnage'!J$35)</f>
        <v/>
      </c>
      <c r="F21" s="444" t="str">
        <f>IF(B21=0,"",'3-MO04-EN01-échantillonnage'!J$35)</f>
        <v/>
      </c>
      <c r="G21" s="444" t="s">
        <v>17636</v>
      </c>
      <c r="H21" s="444"/>
      <c r="I21" s="444" t="s">
        <v>17636</v>
      </c>
      <c r="J21" s="445"/>
      <c r="K21" s="450"/>
    </row>
    <row r="22" spans="1:11" s="434" customFormat="1" ht="12.75" customHeight="1">
      <c r="A22" s="442"/>
      <c r="B22" s="443">
        <f>INDEX(plan,7,3)</f>
        <v>0</v>
      </c>
      <c r="C22" s="444" t="str">
        <f t="shared" si="7"/>
        <v/>
      </c>
      <c r="D22" s="444" t="str">
        <f t="shared" si="8"/>
        <v/>
      </c>
      <c r="E22" s="444" t="str">
        <f>IF(B22=0,"",'3-MO04-EN01-échantillonnage'!K$35)</f>
        <v/>
      </c>
      <c r="F22" s="444"/>
      <c r="G22" s="444"/>
      <c r="H22" s="444"/>
      <c r="I22" s="444"/>
      <c r="J22" s="445"/>
      <c r="K22" s="450"/>
    </row>
    <row r="23" spans="1:11" s="434" customFormat="1" ht="12.75" customHeight="1">
      <c r="A23" s="442"/>
      <c r="B23" s="447">
        <f>INDEX(plan,8,3)</f>
        <v>0</v>
      </c>
      <c r="C23" s="448" t="str">
        <f t="shared" si="7"/>
        <v/>
      </c>
      <c r="D23" s="448" t="str">
        <f t="shared" si="8"/>
        <v/>
      </c>
      <c r="E23" s="448" t="str">
        <f>IF(B23=0,"",'3-MO04-EN01-échantillonnage'!K$36)</f>
        <v/>
      </c>
      <c r="F23" s="448" t="str">
        <f>IF(B23=0,"",'3-MO04-EN01-échantillonnage'!K$35)</f>
        <v/>
      </c>
      <c r="G23" s="448" t="s">
        <v>17636</v>
      </c>
      <c r="H23" s="448"/>
      <c r="I23" s="448" t="s">
        <v>17636</v>
      </c>
      <c r="J23" s="449"/>
      <c r="K23" s="450"/>
    </row>
    <row r="24" spans="1:11" s="434" customFormat="1" ht="12.75" customHeight="1">
      <c r="A24" s="442"/>
      <c r="B24" s="438">
        <f>INDEX(plan,7,4)</f>
        <v>0</v>
      </c>
      <c r="C24" s="439" t="str">
        <f t="shared" si="6"/>
        <v/>
      </c>
      <c r="D24" s="439" t="str">
        <f>IF(B24=0,"","N5")</f>
        <v/>
      </c>
      <c r="E24" s="439" t="str">
        <f>IF(B24=0,"",'3-MO04-EN01-échantillonnage'!L$35)</f>
        <v/>
      </c>
      <c r="F24" s="439" t="str">
        <f>IF(B24=0,"",'3-MO04-EN01-échantillonnage'!L$35)</f>
        <v/>
      </c>
      <c r="G24" s="439" t="s">
        <v>17636</v>
      </c>
      <c r="H24" s="439"/>
      <c r="I24" s="439" t="s">
        <v>17636</v>
      </c>
      <c r="J24" s="440"/>
      <c r="K24" s="450"/>
    </row>
    <row r="25" spans="1:11" s="434" customFormat="1" ht="12.75" customHeight="1">
      <c r="A25" s="442"/>
      <c r="B25" s="443">
        <f>INDEX(plan,7,5)</f>
        <v>0</v>
      </c>
      <c r="C25" s="444" t="str">
        <f t="shared" ref="C25:C27" si="9">IF(B25=0,"","S2")</f>
        <v/>
      </c>
      <c r="D25" s="444" t="str">
        <f t="shared" ref="D25:D27" si="10">IF(B25=0,"","N5")</f>
        <v/>
      </c>
      <c r="E25" s="444" t="str">
        <f>IF(B25=0,"",'3-MO04-EN01-échantillonnage'!M$35)</f>
        <v/>
      </c>
      <c r="F25" s="444" t="str">
        <f>IF(B25=0,"",'3-MO04-EN01-échantillonnage'!M$35)</f>
        <v/>
      </c>
      <c r="G25" s="444" t="s">
        <v>17636</v>
      </c>
      <c r="H25" s="444"/>
      <c r="I25" s="444" t="s">
        <v>17636</v>
      </c>
      <c r="J25" s="445"/>
      <c r="K25" s="450"/>
    </row>
    <row r="26" spans="1:11" s="434" customFormat="1" ht="12.75" customHeight="1">
      <c r="A26" s="442"/>
      <c r="B26" s="443">
        <f>INDEX(plan,7,6)</f>
        <v>0</v>
      </c>
      <c r="C26" s="444" t="str">
        <f t="shared" si="9"/>
        <v/>
      </c>
      <c r="D26" s="444" t="str">
        <f t="shared" si="10"/>
        <v/>
      </c>
      <c r="E26" s="444" t="str">
        <f>IF(B26=0,"",'3-MO04-EN01-échantillonnage'!N$35)</f>
        <v/>
      </c>
      <c r="F26" s="444"/>
      <c r="G26" s="444"/>
      <c r="H26" s="444"/>
      <c r="I26" s="444"/>
      <c r="J26" s="445"/>
      <c r="K26" s="450"/>
    </row>
    <row r="27" spans="1:11" s="434" customFormat="1" ht="12.75" customHeight="1">
      <c r="A27" s="442"/>
      <c r="B27" s="447">
        <f>INDEX(plan,8,6)</f>
        <v>0</v>
      </c>
      <c r="C27" s="448" t="str">
        <f t="shared" si="9"/>
        <v/>
      </c>
      <c r="D27" s="448" t="str">
        <f t="shared" si="10"/>
        <v/>
      </c>
      <c r="E27" s="448" t="str">
        <f>IF(B27=0,"",'3-MO04-EN01-échantillonnage'!N$36)</f>
        <v/>
      </c>
      <c r="F27" s="448" t="str">
        <f>IF(B27=0,"",'3-MO04-EN01-échantillonnage'!N$35)</f>
        <v/>
      </c>
      <c r="G27" s="448" t="s">
        <v>17636</v>
      </c>
      <c r="H27" s="448"/>
      <c r="I27" s="448" t="s">
        <v>17636</v>
      </c>
      <c r="J27" s="449"/>
      <c r="K27" s="450"/>
    </row>
    <row r="28" spans="1:11" s="434" customFormat="1" ht="12.75" customHeight="1">
      <c r="A28" s="452" t="s">
        <v>6158</v>
      </c>
      <c r="B28" s="438">
        <f>INDEX(plan,7,7)</f>
        <v>0</v>
      </c>
      <c r="C28" s="439" t="str">
        <f t="shared" si="6"/>
        <v/>
      </c>
      <c r="D28" s="439" t="str">
        <f>IF(B28=0,"","N3")</f>
        <v/>
      </c>
      <c r="E28" s="439" t="str">
        <f>IF(B28=0,"",'3-MO04-EN01-échantillonnage'!O$35)</f>
        <v/>
      </c>
      <c r="F28" s="439" t="str">
        <f>IF(B28=0,"",'3-MO04-EN01-échantillonnage'!O$35)</f>
        <v/>
      </c>
      <c r="G28" s="439" t="s">
        <v>17636</v>
      </c>
      <c r="H28" s="439"/>
      <c r="I28" s="439" t="s">
        <v>17636</v>
      </c>
      <c r="J28" s="440"/>
      <c r="K28" s="450"/>
    </row>
    <row r="29" spans="1:11" s="434" customFormat="1" ht="12.75" customHeight="1">
      <c r="A29" s="452" t="s">
        <v>17996</v>
      </c>
      <c r="B29" s="443">
        <f>INDEX(plan,7,8)</f>
        <v>0</v>
      </c>
      <c r="C29" s="444" t="str">
        <f t="shared" ref="C29:C31" si="11">IF(B29=0,"","S2")</f>
        <v/>
      </c>
      <c r="D29" s="444" t="str">
        <f t="shared" ref="D29:D31" si="12">IF(B29=0,"","N3")</f>
        <v/>
      </c>
      <c r="E29" s="444" t="str">
        <f>IF(B29=0,"",'3-MO04-EN01-échantillonnage'!P$35)</f>
        <v/>
      </c>
      <c r="F29" s="444" t="str">
        <f>IF(B29=0,"",'3-MO04-EN01-échantillonnage'!P$35)</f>
        <v/>
      </c>
      <c r="G29" s="444" t="s">
        <v>17636</v>
      </c>
      <c r="H29" s="444"/>
      <c r="I29" s="444" t="s">
        <v>17636</v>
      </c>
      <c r="J29" s="445"/>
      <c r="K29" s="450"/>
    </row>
    <row r="30" spans="1:11" s="434" customFormat="1" ht="12.75" customHeight="1">
      <c r="A30" s="452"/>
      <c r="B30" s="443">
        <f>INDEX(plan,7,9)</f>
        <v>0</v>
      </c>
      <c r="C30" s="444" t="str">
        <f t="shared" si="11"/>
        <v/>
      </c>
      <c r="D30" s="444" t="str">
        <f t="shared" si="12"/>
        <v/>
      </c>
      <c r="E30" s="444" t="str">
        <f>IF(B30=0,"",'3-MO04-EN01-échantillonnage'!Q$35)</f>
        <v/>
      </c>
      <c r="F30" s="444"/>
      <c r="G30" s="444"/>
      <c r="H30" s="444"/>
      <c r="I30" s="444"/>
      <c r="J30" s="445"/>
      <c r="K30" s="450"/>
    </row>
    <row r="31" spans="1:11" s="434" customFormat="1" ht="12.75" customHeight="1">
      <c r="A31" s="442"/>
      <c r="B31" s="447">
        <f>INDEX(plan,8,9)</f>
        <v>0</v>
      </c>
      <c r="C31" s="448" t="str">
        <f t="shared" si="11"/>
        <v/>
      </c>
      <c r="D31" s="448" t="str">
        <f t="shared" si="12"/>
        <v/>
      </c>
      <c r="E31" s="448" t="str">
        <f>IF(B31=0,"",'3-MO04-EN01-échantillonnage'!Q$36)</f>
        <v/>
      </c>
      <c r="F31" s="448" t="str">
        <f>IF(B31=0,"",'3-MO04-EN01-échantillonnage'!Q$35)</f>
        <v/>
      </c>
      <c r="G31" s="448" t="s">
        <v>17636</v>
      </c>
      <c r="H31" s="448"/>
      <c r="I31" s="448" t="s">
        <v>17636</v>
      </c>
      <c r="J31" s="449"/>
      <c r="K31" s="450"/>
    </row>
    <row r="32" spans="1:11" s="434" customFormat="1" ht="12.75" customHeight="1">
      <c r="A32" s="442"/>
      <c r="B32" s="438">
        <f>INDEX(plan,7,10)</f>
        <v>0</v>
      </c>
      <c r="C32" s="439" t="str">
        <f t="shared" si="6"/>
        <v/>
      </c>
      <c r="D32" s="439" t="str">
        <f>IF(B32=0,"","N1")</f>
        <v/>
      </c>
      <c r="E32" s="439" t="str">
        <f>IF(B32=0,"",'3-MO04-EN01-échantillonnage'!R$35)</f>
        <v/>
      </c>
      <c r="F32" s="439" t="str">
        <f>IF(B32=0,"",'3-MO04-EN01-échantillonnage'!R$35)</f>
        <v/>
      </c>
      <c r="G32" s="439" t="s">
        <v>17636</v>
      </c>
      <c r="H32" s="439"/>
      <c r="I32" s="439" t="s">
        <v>17636</v>
      </c>
      <c r="J32" s="440"/>
      <c r="K32" s="450"/>
    </row>
    <row r="33" spans="1:11" s="434" customFormat="1" ht="12.75" customHeight="1">
      <c r="A33" s="442"/>
      <c r="B33" s="443">
        <f>INDEX(plan,7,11)</f>
        <v>0</v>
      </c>
      <c r="C33" s="444" t="str">
        <f t="shared" ref="C33:C35" si="13">IF(B33=0,"","S2")</f>
        <v/>
      </c>
      <c r="D33" s="444" t="str">
        <f t="shared" ref="D33:D35" si="14">IF(B33=0,"","N1")</f>
        <v/>
      </c>
      <c r="E33" s="444" t="str">
        <f>IF(B33=0,"",'3-MO04-EN01-échantillonnage'!S$35)</f>
        <v/>
      </c>
      <c r="F33" s="444" t="str">
        <f>IF(B33=0,"",'3-MO04-EN01-échantillonnage'!S$35)</f>
        <v/>
      </c>
      <c r="G33" s="444" t="s">
        <v>17636</v>
      </c>
      <c r="H33" s="444"/>
      <c r="I33" s="444" t="s">
        <v>17636</v>
      </c>
      <c r="J33" s="445"/>
      <c r="K33" s="450"/>
    </row>
    <row r="34" spans="1:11" s="434" customFormat="1" ht="12.75" customHeight="1">
      <c r="A34" s="442"/>
      <c r="B34" s="443">
        <f>INDEX(plan,7,12)</f>
        <v>0</v>
      </c>
      <c r="C34" s="444" t="str">
        <f t="shared" si="13"/>
        <v/>
      </c>
      <c r="D34" s="444" t="str">
        <f t="shared" si="14"/>
        <v/>
      </c>
      <c r="E34" s="444" t="str">
        <f>IF(B34=0,"",'3-MO04-EN01-échantillonnage'!T$35)</f>
        <v/>
      </c>
      <c r="F34" s="444"/>
      <c r="G34" s="444"/>
      <c r="H34" s="444"/>
      <c r="I34" s="444"/>
      <c r="J34" s="445"/>
      <c r="K34" s="450"/>
    </row>
    <row r="35" spans="1:11" s="434" customFormat="1" ht="12.75" customHeight="1">
      <c r="A35" s="451"/>
      <c r="B35" s="447">
        <f>INDEX(plan,8,12)</f>
        <v>0</v>
      </c>
      <c r="C35" s="448" t="str">
        <f t="shared" si="13"/>
        <v/>
      </c>
      <c r="D35" s="448" t="str">
        <f t="shared" si="14"/>
        <v/>
      </c>
      <c r="E35" s="448" t="str">
        <f>IF(B35=0,"",'3-MO04-EN01-échantillonnage'!T$36)</f>
        <v/>
      </c>
      <c r="F35" s="448" t="str">
        <f>IF(B35=0,"",'3-MO04-EN01-échantillonnage'!T$35)</f>
        <v/>
      </c>
      <c r="G35" s="448" t="s">
        <v>17636</v>
      </c>
      <c r="H35" s="448"/>
      <c r="I35" s="448" t="s">
        <v>17636</v>
      </c>
      <c r="J35" s="449"/>
      <c r="K35" s="450"/>
    </row>
    <row r="36" spans="1:11" s="434" customFormat="1" ht="12.75" customHeight="1">
      <c r="A36" s="437"/>
      <c r="B36" s="438">
        <f>INDEX(plan,13,1)</f>
        <v>0</v>
      </c>
      <c r="C36" s="439" t="str">
        <f t="shared" ref="C36:C48" si="15">IF(B36=0,"","S3")</f>
        <v/>
      </c>
      <c r="D36" s="439" t="str">
        <f>IF(B36=0,"","N6")</f>
        <v/>
      </c>
      <c r="E36" s="439" t="str">
        <f>IF(B36=0,"",'3-MO04-EN01-échantillonnage'!I$41)</f>
        <v/>
      </c>
      <c r="F36" s="439" t="str">
        <f>IF(B36=0,"",'3-MO04-EN01-échantillonnage'!I$41)</f>
        <v/>
      </c>
      <c r="G36" s="439" t="s">
        <v>17636</v>
      </c>
      <c r="H36" s="439"/>
      <c r="I36" s="439" t="s">
        <v>17636</v>
      </c>
      <c r="J36" s="440"/>
      <c r="K36" s="450"/>
    </row>
    <row r="37" spans="1:11" s="434" customFormat="1" ht="12.75" customHeight="1">
      <c r="A37" s="442"/>
      <c r="B37" s="443">
        <f>INDEX(plan,13,2)</f>
        <v>0</v>
      </c>
      <c r="C37" s="444" t="str">
        <f t="shared" ref="C37:C39" si="16">IF(B37=0,"","S3")</f>
        <v/>
      </c>
      <c r="D37" s="444" t="str">
        <f t="shared" ref="D37:D39" si="17">IF(B37=0,"","N6")</f>
        <v/>
      </c>
      <c r="E37" s="444" t="str">
        <f>IF(B37=0,"",'3-MO04-EN01-échantillonnage'!J$41)</f>
        <v/>
      </c>
      <c r="F37" s="444" t="s">
        <v>17636</v>
      </c>
      <c r="G37" s="444" t="s">
        <v>17636</v>
      </c>
      <c r="H37" s="444"/>
      <c r="I37" s="444" t="s">
        <v>17636</v>
      </c>
      <c r="J37" s="445"/>
      <c r="K37" s="450"/>
    </row>
    <row r="38" spans="1:11" s="434" customFormat="1" ht="12.75" customHeight="1">
      <c r="A38" s="442"/>
      <c r="B38" s="443">
        <f>INDEX(plan,13,3)</f>
        <v>0</v>
      </c>
      <c r="C38" s="444" t="str">
        <f t="shared" si="16"/>
        <v/>
      </c>
      <c r="D38" s="444" t="str">
        <f t="shared" si="17"/>
        <v/>
      </c>
      <c r="E38" s="444" t="str">
        <f>IF(B38=0,"",'3-MO04-EN01-échantillonnage'!K$41)</f>
        <v/>
      </c>
      <c r="F38" s="444"/>
      <c r="G38" s="444"/>
      <c r="H38" s="444"/>
      <c r="I38" s="444"/>
      <c r="J38" s="445"/>
      <c r="K38" s="450"/>
    </row>
    <row r="39" spans="1:11" s="434" customFormat="1" ht="12.75" customHeight="1">
      <c r="A39" s="442"/>
      <c r="B39" s="447">
        <f>INDEX(plan,14,3)</f>
        <v>0</v>
      </c>
      <c r="C39" s="448" t="str">
        <f t="shared" si="16"/>
        <v/>
      </c>
      <c r="D39" s="448" t="str">
        <f t="shared" si="17"/>
        <v/>
      </c>
      <c r="E39" s="448" t="str">
        <f>IF(B39=0,"",'3-MO04-EN01-échantillonnage'!K$42)</f>
        <v/>
      </c>
      <c r="F39" s="448" t="s">
        <v>17636</v>
      </c>
      <c r="G39" s="448" t="s">
        <v>17636</v>
      </c>
      <c r="H39" s="448"/>
      <c r="I39" s="448" t="s">
        <v>17636</v>
      </c>
      <c r="J39" s="449"/>
      <c r="K39" s="450"/>
    </row>
    <row r="40" spans="1:11" s="434" customFormat="1" ht="12.75" customHeight="1">
      <c r="A40" s="442"/>
      <c r="B40" s="438">
        <f>INDEX(plan,13,4)</f>
        <v>0</v>
      </c>
      <c r="C40" s="439" t="str">
        <f t="shared" si="15"/>
        <v/>
      </c>
      <c r="D40" s="439" t="str">
        <f>IF(B40=0,"","N5")</f>
        <v/>
      </c>
      <c r="E40" s="439" t="str">
        <f>IF(B40=0,"",'3-MO04-EN01-échantillonnage'!L$41)</f>
        <v/>
      </c>
      <c r="F40" s="439" t="s">
        <v>17636</v>
      </c>
      <c r="G40" s="439" t="s">
        <v>17636</v>
      </c>
      <c r="H40" s="439"/>
      <c r="I40" s="439" t="s">
        <v>17636</v>
      </c>
      <c r="J40" s="440"/>
      <c r="K40" s="450"/>
    </row>
    <row r="41" spans="1:11" s="434" customFormat="1" ht="12.75" customHeight="1">
      <c r="A41" s="442"/>
      <c r="B41" s="443">
        <f>INDEX(plan,13,5)</f>
        <v>0</v>
      </c>
      <c r="C41" s="444" t="str">
        <f t="shared" ref="C41:C43" si="18">IF(B41=0,"","S3")</f>
        <v/>
      </c>
      <c r="D41" s="444" t="str">
        <f t="shared" ref="D41:D43" si="19">IF(B41=0,"","N5")</f>
        <v/>
      </c>
      <c r="E41" s="444" t="str">
        <f>IF(B41=0,"",'3-MO04-EN01-échantillonnage'!M$41)</f>
        <v/>
      </c>
      <c r="F41" s="444" t="s">
        <v>17636</v>
      </c>
      <c r="G41" s="444" t="s">
        <v>17636</v>
      </c>
      <c r="H41" s="444"/>
      <c r="I41" s="444" t="s">
        <v>17636</v>
      </c>
      <c r="J41" s="445"/>
      <c r="K41" s="450"/>
    </row>
    <row r="42" spans="1:11" s="434" customFormat="1" ht="12.75" customHeight="1">
      <c r="A42" s="442"/>
      <c r="B42" s="443">
        <f>INDEX(plan,13,6)</f>
        <v>0</v>
      </c>
      <c r="C42" s="444" t="str">
        <f t="shared" si="18"/>
        <v/>
      </c>
      <c r="D42" s="444" t="str">
        <f t="shared" si="19"/>
        <v/>
      </c>
      <c r="E42" s="444" t="str">
        <f>IF(B42=0,"",'3-MO04-EN01-échantillonnage'!N$41)</f>
        <v/>
      </c>
      <c r="F42" s="444"/>
      <c r="G42" s="444"/>
      <c r="H42" s="444"/>
      <c r="I42" s="444"/>
      <c r="J42" s="445"/>
      <c r="K42" s="450"/>
    </row>
    <row r="43" spans="1:11" s="434" customFormat="1" ht="12.75" customHeight="1">
      <c r="A43" s="442"/>
      <c r="B43" s="447">
        <f>INDEX(plan,14,6)</f>
        <v>0</v>
      </c>
      <c r="C43" s="448" t="str">
        <f t="shared" si="18"/>
        <v/>
      </c>
      <c r="D43" s="448" t="str">
        <f t="shared" si="19"/>
        <v/>
      </c>
      <c r="E43" s="448" t="str">
        <f>IF(B43=0,"",'3-MO04-EN01-échantillonnage'!N$42)</f>
        <v/>
      </c>
      <c r="F43" s="448" t="s">
        <v>17636</v>
      </c>
      <c r="G43" s="448" t="s">
        <v>17636</v>
      </c>
      <c r="H43" s="448"/>
      <c r="I43" s="448" t="s">
        <v>17636</v>
      </c>
      <c r="J43" s="449"/>
      <c r="K43" s="450"/>
    </row>
    <row r="44" spans="1:11" s="434" customFormat="1" ht="12.75" customHeight="1">
      <c r="A44" s="453" t="s">
        <v>17997</v>
      </c>
      <c r="B44" s="438">
        <f>INDEX(plan,13,7)</f>
        <v>0</v>
      </c>
      <c r="C44" s="439" t="str">
        <f t="shared" si="15"/>
        <v/>
      </c>
      <c r="D44" s="439" t="str">
        <f>IF(B44=0,"","N3")</f>
        <v/>
      </c>
      <c r="E44" s="439" t="str">
        <f>IF(B44=0,"",'3-MO04-EN01-échantillonnage'!O$41)</f>
        <v/>
      </c>
      <c r="F44" s="439" t="s">
        <v>17636</v>
      </c>
      <c r="G44" s="439" t="s">
        <v>17636</v>
      </c>
      <c r="H44" s="439"/>
      <c r="I44" s="439" t="s">
        <v>17636</v>
      </c>
      <c r="J44" s="440"/>
      <c r="K44" s="450"/>
    </row>
    <row r="45" spans="1:11" s="434" customFormat="1" ht="12.75" customHeight="1">
      <c r="A45" s="453" t="s">
        <v>17998</v>
      </c>
      <c r="B45" s="443">
        <f>INDEX(plan,13,8)</f>
        <v>0</v>
      </c>
      <c r="C45" s="444" t="str">
        <f t="shared" ref="C45:C47" si="20">IF(B45=0,"","S3")</f>
        <v/>
      </c>
      <c r="D45" s="444" t="str">
        <f t="shared" ref="D45:D47" si="21">IF(B45=0,"","N3")</f>
        <v/>
      </c>
      <c r="E45" s="444" t="str">
        <f>IF(B45=0,"",'3-MO04-EN01-échantillonnage'!P$41)</f>
        <v/>
      </c>
      <c r="F45" s="444" t="s">
        <v>17636</v>
      </c>
      <c r="G45" s="444" t="s">
        <v>17636</v>
      </c>
      <c r="H45" s="444"/>
      <c r="I45" s="444" t="s">
        <v>17636</v>
      </c>
      <c r="J45" s="445"/>
      <c r="K45" s="450"/>
    </row>
    <row r="46" spans="1:11" s="434" customFormat="1" ht="12.75" customHeight="1">
      <c r="A46" s="453"/>
      <c r="B46" s="443">
        <f>INDEX(plan,13,9)</f>
        <v>0</v>
      </c>
      <c r="C46" s="444" t="str">
        <f t="shared" si="20"/>
        <v/>
      </c>
      <c r="D46" s="444" t="str">
        <f t="shared" si="21"/>
        <v/>
      </c>
      <c r="E46" s="444" t="str">
        <f>IF(B46=0,"",'3-MO04-EN01-échantillonnage'!Q$41)</f>
        <v/>
      </c>
      <c r="F46" s="444"/>
      <c r="G46" s="444"/>
      <c r="H46" s="444"/>
      <c r="I46" s="444"/>
      <c r="J46" s="445"/>
      <c r="K46" s="450"/>
    </row>
    <row r="47" spans="1:11" s="434" customFormat="1" ht="12.75" customHeight="1">
      <c r="A47" s="442"/>
      <c r="B47" s="447">
        <f>INDEX(plan,14,9)</f>
        <v>0</v>
      </c>
      <c r="C47" s="448" t="str">
        <f t="shared" si="20"/>
        <v/>
      </c>
      <c r="D47" s="448" t="str">
        <f t="shared" si="21"/>
        <v/>
      </c>
      <c r="E47" s="448" t="str">
        <f>IF(B47=0,"",'3-MO04-EN01-échantillonnage'!Q$42)</f>
        <v/>
      </c>
      <c r="F47" s="448" t="s">
        <v>17636</v>
      </c>
      <c r="G47" s="448" t="s">
        <v>17636</v>
      </c>
      <c r="H47" s="448"/>
      <c r="I47" s="448" t="s">
        <v>17636</v>
      </c>
      <c r="J47" s="449"/>
      <c r="K47" s="450"/>
    </row>
    <row r="48" spans="1:11" s="434" customFormat="1" ht="12.75" customHeight="1">
      <c r="A48" s="442"/>
      <c r="B48" s="438">
        <f>INDEX(plan,13,10)</f>
        <v>0</v>
      </c>
      <c r="C48" s="439" t="str">
        <f t="shared" si="15"/>
        <v/>
      </c>
      <c r="D48" s="439" t="str">
        <f>IF(B48=0,"","N1")</f>
        <v/>
      </c>
      <c r="E48" s="439" t="str">
        <f>IF(B48=0,"",'3-MO04-EN01-échantillonnage'!R$41)</f>
        <v/>
      </c>
      <c r="F48" s="439"/>
      <c r="G48" s="439"/>
      <c r="H48" s="439"/>
      <c r="I48" s="439"/>
      <c r="J48" s="440"/>
      <c r="K48" s="450"/>
    </row>
    <row r="49" spans="1:11" s="434" customFormat="1" ht="12.75" customHeight="1">
      <c r="A49" s="442"/>
      <c r="B49" s="443">
        <f>INDEX(plan,13,11)</f>
        <v>2</v>
      </c>
      <c r="C49" s="444" t="str">
        <f t="shared" ref="C49:C51" si="22">IF(B49=0,"","S3")</f>
        <v>S3</v>
      </c>
      <c r="D49" s="444" t="str">
        <f t="shared" ref="D49:D51" si="23">IF(B49=0,"","N1")</f>
        <v>N1</v>
      </c>
      <c r="E49" s="444" t="str">
        <f>IF(B49=0,"",'3-MO04-EN01-échantillonnage'!S$41)</f>
        <v>PhA</v>
      </c>
      <c r="F49" s="444" t="s">
        <v>17636</v>
      </c>
      <c r="G49" s="444" t="s">
        <v>17636</v>
      </c>
      <c r="H49" s="444"/>
      <c r="I49" s="444" t="s">
        <v>17636</v>
      </c>
      <c r="J49" s="445"/>
      <c r="K49" s="450"/>
    </row>
    <row r="50" spans="1:11" s="434" customFormat="1" ht="12.75" customHeight="1">
      <c r="A50" s="442"/>
      <c r="B50" s="443">
        <f>INDEX(plan,13,12)</f>
        <v>0</v>
      </c>
      <c r="C50" s="444" t="str">
        <f t="shared" si="22"/>
        <v/>
      </c>
      <c r="D50" s="444" t="str">
        <f t="shared" si="23"/>
        <v/>
      </c>
      <c r="E50" s="444" t="str">
        <f>IF(B50=0,"",'3-MO04-EN01-échantillonnage'!T$41)</f>
        <v/>
      </c>
      <c r="F50" s="444"/>
      <c r="G50" s="444"/>
      <c r="H50" s="444"/>
      <c r="I50" s="444"/>
      <c r="J50" s="445"/>
      <c r="K50" s="450"/>
    </row>
    <row r="51" spans="1:11" s="434" customFormat="1" ht="12.75" customHeight="1">
      <c r="A51" s="451"/>
      <c r="B51" s="447">
        <f>INDEX(plan,14,12)</f>
        <v>0</v>
      </c>
      <c r="C51" s="448" t="str">
        <f t="shared" si="22"/>
        <v/>
      </c>
      <c r="D51" s="448" t="str">
        <f t="shared" si="23"/>
        <v/>
      </c>
      <c r="E51" s="448" t="str">
        <f>IF(B51=0,"",'3-MO04-EN01-échantillonnage'!T$42)</f>
        <v/>
      </c>
      <c r="F51" s="448" t="s">
        <v>17636</v>
      </c>
      <c r="G51" s="448" t="s">
        <v>17636</v>
      </c>
      <c r="H51" s="448"/>
      <c r="I51" s="448" t="s">
        <v>17636</v>
      </c>
      <c r="J51" s="449"/>
      <c r="K51" s="450"/>
    </row>
    <row r="52" spans="1:11" s="434" customFormat="1" ht="12.75" customHeight="1">
      <c r="A52" s="437"/>
      <c r="B52" s="438">
        <f>INDEX(plan,19,1)</f>
        <v>0</v>
      </c>
      <c r="C52" s="439" t="str">
        <f t="shared" ref="C52:C64" si="24">IF(B52=0,"","S28")</f>
        <v/>
      </c>
      <c r="D52" s="439" t="str">
        <f>IF(B52=0,"","N6")</f>
        <v/>
      </c>
      <c r="E52" s="439" t="str">
        <f>IF(B52=0,"",'3-MO04-EN01-échantillonnage'!I$47)</f>
        <v/>
      </c>
      <c r="F52" s="439" t="s">
        <v>17636</v>
      </c>
      <c r="G52" s="439" t="s">
        <v>17636</v>
      </c>
      <c r="H52" s="439"/>
      <c r="I52" s="439" t="s">
        <v>17636</v>
      </c>
      <c r="J52" s="440"/>
      <c r="K52" s="450"/>
    </row>
    <row r="53" spans="1:11" s="434" customFormat="1" ht="12.75" customHeight="1">
      <c r="A53" s="442"/>
      <c r="B53" s="443">
        <f>INDEX(plan,19,2)</f>
        <v>0</v>
      </c>
      <c r="C53" s="444" t="str">
        <f t="shared" ref="C53:C55" si="25">IF(B53=0,"","S28")</f>
        <v/>
      </c>
      <c r="D53" s="444" t="str">
        <f t="shared" ref="D53:D55" si="26">IF(B53=0,"","N6")</f>
        <v/>
      </c>
      <c r="E53" s="444" t="str">
        <f>IF(B53=0,"",'3-MO04-EN01-échantillonnage'!J$47)</f>
        <v/>
      </c>
      <c r="F53" s="444" t="s">
        <v>17636</v>
      </c>
      <c r="G53" s="444" t="s">
        <v>17636</v>
      </c>
      <c r="H53" s="444"/>
      <c r="I53" s="444" t="s">
        <v>17636</v>
      </c>
      <c r="J53" s="445"/>
      <c r="K53" s="450"/>
    </row>
    <row r="54" spans="1:11" s="434" customFormat="1" ht="12.75" customHeight="1">
      <c r="A54" s="442"/>
      <c r="B54" s="443">
        <f>INDEX(plan,19,3)</f>
        <v>0</v>
      </c>
      <c r="C54" s="444" t="str">
        <f t="shared" si="25"/>
        <v/>
      </c>
      <c r="D54" s="444" t="str">
        <f t="shared" si="26"/>
        <v/>
      </c>
      <c r="E54" s="444" t="str">
        <f>IF(B54=0,"",'3-MO04-EN01-échantillonnage'!K$47)</f>
        <v/>
      </c>
      <c r="F54" s="444"/>
      <c r="G54" s="444"/>
      <c r="H54" s="444"/>
      <c r="I54" s="444"/>
      <c r="J54" s="445"/>
      <c r="K54" s="450"/>
    </row>
    <row r="55" spans="1:11" s="434" customFormat="1" ht="12.75" customHeight="1">
      <c r="A55" s="442"/>
      <c r="B55" s="447">
        <f>INDEX(plan,20,3)</f>
        <v>0</v>
      </c>
      <c r="C55" s="448" t="str">
        <f t="shared" si="25"/>
        <v/>
      </c>
      <c r="D55" s="448" t="str">
        <f t="shared" si="26"/>
        <v/>
      </c>
      <c r="E55" s="448" t="str">
        <f>IF(B55=0,"",'3-MO04-EN01-échantillonnage'!K$48)</f>
        <v/>
      </c>
      <c r="F55" s="448" t="s">
        <v>17636</v>
      </c>
      <c r="G55" s="448" t="s">
        <v>17636</v>
      </c>
      <c r="H55" s="448"/>
      <c r="I55" s="448" t="s">
        <v>17636</v>
      </c>
      <c r="J55" s="449"/>
      <c r="K55" s="450"/>
    </row>
    <row r="56" spans="1:11" s="434" customFormat="1" ht="12.75" customHeight="1">
      <c r="A56" s="442"/>
      <c r="B56" s="438">
        <f>INDEX(plan,19,4)</f>
        <v>0</v>
      </c>
      <c r="C56" s="439" t="str">
        <f t="shared" si="24"/>
        <v/>
      </c>
      <c r="D56" s="439" t="str">
        <f>IF(B56=0,"","N5")</f>
        <v/>
      </c>
      <c r="E56" s="439" t="str">
        <f>IF(B56=0,"",'3-MO04-EN01-échantillonnage'!L$47)</f>
        <v/>
      </c>
      <c r="F56" s="439" t="s">
        <v>17636</v>
      </c>
      <c r="G56" s="439" t="s">
        <v>17636</v>
      </c>
      <c r="H56" s="439"/>
      <c r="I56" s="439" t="s">
        <v>17636</v>
      </c>
      <c r="J56" s="440"/>
      <c r="K56" s="450"/>
    </row>
    <row r="57" spans="1:11" s="434" customFormat="1" ht="12.75" customHeight="1">
      <c r="A57" s="442"/>
      <c r="B57" s="443">
        <f>INDEX(plan,19,5)</f>
        <v>0</v>
      </c>
      <c r="C57" s="444" t="str">
        <f t="shared" ref="C57:C59" si="27">IF(B57=0,"","S28")</f>
        <v/>
      </c>
      <c r="D57" s="444" t="str">
        <f t="shared" ref="D57:D59" si="28">IF(B57=0,"","N5")</f>
        <v/>
      </c>
      <c r="E57" s="444" t="str">
        <f>IF(B57=0,"",'3-MO04-EN01-échantillonnage'!M$47)</f>
        <v/>
      </c>
      <c r="F57" s="444" t="s">
        <v>17636</v>
      </c>
      <c r="G57" s="444" t="s">
        <v>17636</v>
      </c>
      <c r="H57" s="444"/>
      <c r="I57" s="444" t="s">
        <v>17636</v>
      </c>
      <c r="J57" s="445"/>
      <c r="K57" s="450"/>
    </row>
    <row r="58" spans="1:11" s="434" customFormat="1" ht="12.75" customHeight="1">
      <c r="A58" s="442"/>
      <c r="B58" s="443">
        <f>INDEX(plan,19,6)</f>
        <v>0</v>
      </c>
      <c r="C58" s="444" t="str">
        <f t="shared" si="27"/>
        <v/>
      </c>
      <c r="D58" s="444" t="str">
        <f t="shared" si="28"/>
        <v/>
      </c>
      <c r="E58" s="444" t="str">
        <f>IF(B58=0,"",'3-MO04-EN01-échantillonnage'!N$47)</f>
        <v/>
      </c>
      <c r="F58" s="444"/>
      <c r="G58" s="444"/>
      <c r="H58" s="444"/>
      <c r="I58" s="444"/>
      <c r="J58" s="445"/>
      <c r="K58" s="450"/>
    </row>
    <row r="59" spans="1:11" s="434" customFormat="1" ht="12.75" customHeight="1">
      <c r="A59" s="454"/>
      <c r="B59" s="447">
        <f>INDEX(plan,20,6)</f>
        <v>0</v>
      </c>
      <c r="C59" s="448" t="str">
        <f t="shared" si="27"/>
        <v/>
      </c>
      <c r="D59" s="448" t="str">
        <f t="shared" si="28"/>
        <v/>
      </c>
      <c r="E59" s="448" t="str">
        <f>IF(B59=0,"",'3-MO04-EN01-échantillonnage'!N$48)</f>
        <v/>
      </c>
      <c r="F59" s="448" t="s">
        <v>17636</v>
      </c>
      <c r="G59" s="448" t="s">
        <v>17636</v>
      </c>
      <c r="H59" s="448"/>
      <c r="I59" s="448" t="s">
        <v>17636</v>
      </c>
      <c r="J59" s="449"/>
      <c r="K59" s="450"/>
    </row>
    <row r="60" spans="1:11" s="434" customFormat="1" ht="12.75" customHeight="1">
      <c r="A60" s="454" t="s">
        <v>17999</v>
      </c>
      <c r="B60" s="438">
        <f>INDEX(plan,19,7)</f>
        <v>0</v>
      </c>
      <c r="C60" s="439" t="str">
        <f t="shared" si="24"/>
        <v/>
      </c>
      <c r="D60" s="439" t="str">
        <f>IF(B60=0,"","N3")</f>
        <v/>
      </c>
      <c r="E60" s="439" t="str">
        <f>IF(B60=0,"",'3-MO04-EN01-échantillonnage'!O$47)</f>
        <v/>
      </c>
      <c r="F60" s="439" t="s">
        <v>17636</v>
      </c>
      <c r="G60" s="439" t="s">
        <v>17636</v>
      </c>
      <c r="H60" s="439"/>
      <c r="I60" s="439" t="s">
        <v>17636</v>
      </c>
      <c r="J60" s="440"/>
      <c r="K60" s="450"/>
    </row>
    <row r="61" spans="1:11" s="434" customFormat="1" ht="12.75" customHeight="1">
      <c r="A61" s="454" t="s">
        <v>18000</v>
      </c>
      <c r="B61" s="443">
        <f>INDEX(plan,19,8)</f>
        <v>0</v>
      </c>
      <c r="C61" s="444" t="str">
        <f t="shared" ref="C61:C63" si="29">IF(B61=0,"","S28")</f>
        <v/>
      </c>
      <c r="D61" s="444" t="str">
        <f t="shared" ref="D61:D63" si="30">IF(B61=0,"","N3")</f>
        <v/>
      </c>
      <c r="E61" s="444" t="str">
        <f>IF(B61=0,"",'3-MO04-EN01-échantillonnage'!P$47)</f>
        <v/>
      </c>
      <c r="F61" s="444" t="s">
        <v>17636</v>
      </c>
      <c r="G61" s="444" t="s">
        <v>17636</v>
      </c>
      <c r="H61" s="444"/>
      <c r="I61" s="444" t="s">
        <v>17636</v>
      </c>
      <c r="J61" s="445"/>
      <c r="K61" s="450"/>
    </row>
    <row r="62" spans="1:11" s="434" customFormat="1" ht="12.75" customHeight="1">
      <c r="A62" s="454"/>
      <c r="B62" s="443">
        <f>INDEX(plan,19,9)</f>
        <v>0</v>
      </c>
      <c r="C62" s="444" t="str">
        <f t="shared" si="29"/>
        <v/>
      </c>
      <c r="D62" s="444" t="str">
        <f t="shared" si="30"/>
        <v/>
      </c>
      <c r="E62" s="444" t="str">
        <f>IF(B62=0,"",'3-MO04-EN01-échantillonnage'!Q$47)</f>
        <v/>
      </c>
      <c r="F62" s="444"/>
      <c r="G62" s="444"/>
      <c r="H62" s="444"/>
      <c r="I62" s="444"/>
      <c r="J62" s="445"/>
      <c r="K62" s="450"/>
    </row>
    <row r="63" spans="1:11" s="434" customFormat="1" ht="12.75" customHeight="1">
      <c r="A63" s="454"/>
      <c r="B63" s="447">
        <f>INDEX(plan,20,9)</f>
        <v>0</v>
      </c>
      <c r="C63" s="448" t="str">
        <f t="shared" si="29"/>
        <v/>
      </c>
      <c r="D63" s="448" t="str">
        <f t="shared" si="30"/>
        <v/>
      </c>
      <c r="E63" s="448" t="str">
        <f>IF(B63=0,"",'3-MO04-EN01-échantillonnage'!Q$48)</f>
        <v/>
      </c>
      <c r="F63" s="448" t="s">
        <v>17636</v>
      </c>
      <c r="G63" s="448" t="s">
        <v>17636</v>
      </c>
      <c r="H63" s="448"/>
      <c r="I63" s="448" t="s">
        <v>17636</v>
      </c>
      <c r="J63" s="449"/>
      <c r="K63" s="450"/>
    </row>
    <row r="64" spans="1:11" s="434" customFormat="1" ht="12.75" customHeight="1">
      <c r="A64" s="442"/>
      <c r="B64" s="438">
        <f>INDEX(plan,19,10)</f>
        <v>0</v>
      </c>
      <c r="C64" s="439" t="str">
        <f t="shared" si="24"/>
        <v/>
      </c>
      <c r="D64" s="439" t="str">
        <f>IF(B64=0,"","N1")</f>
        <v/>
      </c>
      <c r="E64" s="439" t="str">
        <f>IF(B64=0,"",'3-MO04-EN01-échantillonnage'!R$47)</f>
        <v/>
      </c>
      <c r="F64" s="439" t="s">
        <v>17636</v>
      </c>
      <c r="G64" s="439" t="s">
        <v>17636</v>
      </c>
      <c r="H64" s="439"/>
      <c r="I64" s="439" t="s">
        <v>17636</v>
      </c>
      <c r="J64" s="440"/>
      <c r="K64" s="450"/>
    </row>
    <row r="65" spans="1:11" s="434" customFormat="1" ht="12.75" customHeight="1">
      <c r="A65" s="442"/>
      <c r="B65" s="443">
        <f>INDEX(plan,19,11)</f>
        <v>3</v>
      </c>
      <c r="C65" s="444" t="str">
        <f t="shared" ref="C65:C67" si="31">IF(B65=0,"","S28")</f>
        <v>S28</v>
      </c>
      <c r="D65" s="444" t="str">
        <f t="shared" ref="D65:D67" si="32">IF(B65=0,"","N1")</f>
        <v>N1</v>
      </c>
      <c r="E65" s="444" t="str">
        <f>IF(B65=0,"",'3-MO04-EN01-échantillonnage'!S$47)</f>
        <v>PhA</v>
      </c>
      <c r="F65" s="444" t="s">
        <v>17636</v>
      </c>
      <c r="G65" s="444" t="s">
        <v>17636</v>
      </c>
      <c r="H65" s="444"/>
      <c r="I65" s="444" t="s">
        <v>17636</v>
      </c>
      <c r="J65" s="445"/>
      <c r="K65" s="450"/>
    </row>
    <row r="66" spans="1:11" s="434" customFormat="1" ht="12.75" customHeight="1">
      <c r="A66" s="442"/>
      <c r="B66" s="443">
        <f>INDEX(plan,19,12)</f>
        <v>0</v>
      </c>
      <c r="C66" s="444" t="str">
        <f t="shared" si="31"/>
        <v/>
      </c>
      <c r="D66" s="444" t="str">
        <f t="shared" si="32"/>
        <v/>
      </c>
      <c r="E66" s="444" t="str">
        <f>IF(B66=0,"",'3-MO04-EN01-échantillonnage'!T$47)</f>
        <v/>
      </c>
      <c r="F66" s="444"/>
      <c r="G66" s="444"/>
      <c r="H66" s="444"/>
      <c r="I66" s="444"/>
      <c r="J66" s="445"/>
      <c r="K66" s="450"/>
    </row>
    <row r="67" spans="1:11" s="434" customFormat="1" ht="12.75" customHeight="1">
      <c r="A67" s="451"/>
      <c r="B67" s="447">
        <f>INDEX(plan,20,12)</f>
        <v>0</v>
      </c>
      <c r="C67" s="448" t="str">
        <f t="shared" si="31"/>
        <v/>
      </c>
      <c r="D67" s="448" t="str">
        <f t="shared" si="32"/>
        <v/>
      </c>
      <c r="E67" s="448" t="str">
        <f>IF(B67=0,"",'3-MO04-EN01-échantillonnage'!T$48)</f>
        <v/>
      </c>
      <c r="F67" s="448" t="s">
        <v>17636</v>
      </c>
      <c r="G67" s="448" t="s">
        <v>17636</v>
      </c>
      <c r="H67" s="448"/>
      <c r="I67" s="448" t="s">
        <v>17636</v>
      </c>
      <c r="J67" s="449"/>
      <c r="K67" s="450"/>
    </row>
    <row r="68" spans="1:11" s="434" customFormat="1" ht="12.75" customHeight="1">
      <c r="A68" s="437"/>
      <c r="B68" s="438">
        <f>INDEX(plan,25,1)</f>
        <v>0</v>
      </c>
      <c r="C68" s="439" t="str">
        <f t="shared" ref="C68:C80" si="33">IF(B68=0,"","S24")</f>
        <v/>
      </c>
      <c r="D68" s="439" t="str">
        <f>IF(B68=0,"","N6")</f>
        <v/>
      </c>
      <c r="E68" s="439" t="str">
        <f>IF(B68=0,"",'3-MO04-EN01-échantillonnage'!I$53)</f>
        <v/>
      </c>
      <c r="F68" s="439" t="s">
        <v>17636</v>
      </c>
      <c r="G68" s="439" t="s">
        <v>17636</v>
      </c>
      <c r="H68" s="439"/>
      <c r="I68" s="439" t="s">
        <v>17636</v>
      </c>
      <c r="J68" s="440"/>
      <c r="K68" s="450"/>
    </row>
    <row r="69" spans="1:11" s="434" customFormat="1" ht="12.75" customHeight="1">
      <c r="A69" s="442"/>
      <c r="B69" s="443">
        <f>INDEX(plan,25,2)</f>
        <v>12</v>
      </c>
      <c r="C69" s="444" t="str">
        <f t="shared" ref="C69:C71" si="34">IF(B69=0,"","S24")</f>
        <v>S24</v>
      </c>
      <c r="D69" s="444" t="str">
        <f t="shared" ref="D69:D71" si="35">IF(B69=0,"","N6")</f>
        <v>N6</v>
      </c>
      <c r="E69" s="444" t="str">
        <f>IF(B69=0,"",'3-MO04-EN01-échantillonnage'!J$53)</f>
        <v>PhC</v>
      </c>
      <c r="F69" s="444" t="s">
        <v>17636</v>
      </c>
      <c r="G69" s="444" t="s">
        <v>17636</v>
      </c>
      <c r="H69" s="444"/>
      <c r="I69" s="444" t="s">
        <v>17636</v>
      </c>
      <c r="J69" s="445"/>
      <c r="K69" s="450"/>
    </row>
    <row r="70" spans="1:11" s="434" customFormat="1" ht="12.75" customHeight="1">
      <c r="A70" s="442"/>
      <c r="B70" s="443">
        <f>INDEX(plan,25,3)</f>
        <v>0</v>
      </c>
      <c r="C70" s="444" t="str">
        <f t="shared" si="34"/>
        <v/>
      </c>
      <c r="D70" s="444" t="str">
        <f t="shared" si="35"/>
        <v/>
      </c>
      <c r="E70" s="444" t="str">
        <f>IF(B70=0,"",'3-MO04-EN01-échantillonnage'!K$53)</f>
        <v/>
      </c>
      <c r="F70" s="444"/>
      <c r="G70" s="444"/>
      <c r="H70" s="444"/>
      <c r="I70" s="444"/>
      <c r="J70" s="445"/>
      <c r="K70" s="450"/>
    </row>
    <row r="71" spans="1:11" s="434" customFormat="1" ht="12.75" customHeight="1">
      <c r="A71" s="442"/>
      <c r="B71" s="447">
        <f>INDEX(plan,26,3)</f>
        <v>0</v>
      </c>
      <c r="C71" s="448" t="str">
        <f t="shared" si="34"/>
        <v/>
      </c>
      <c r="D71" s="448" t="str">
        <f t="shared" si="35"/>
        <v/>
      </c>
      <c r="E71" s="448" t="str">
        <f>IF(B71=0,"",'3-MO04-EN01-échantillonnage'!K$54)</f>
        <v/>
      </c>
      <c r="F71" s="448" t="s">
        <v>17636</v>
      </c>
      <c r="G71" s="448" t="s">
        <v>17636</v>
      </c>
      <c r="H71" s="448"/>
      <c r="I71" s="448" t="s">
        <v>17636</v>
      </c>
      <c r="J71" s="449"/>
      <c r="K71" s="450"/>
    </row>
    <row r="72" spans="1:11" s="434" customFormat="1" ht="12.75" customHeight="1">
      <c r="A72" s="442"/>
      <c r="B72" s="438">
        <f>INDEX(plan,25,4)</f>
        <v>0</v>
      </c>
      <c r="C72" s="439" t="str">
        <f t="shared" si="33"/>
        <v/>
      </c>
      <c r="D72" s="439" t="str">
        <f>IF(B72=0,"","N5")</f>
        <v/>
      </c>
      <c r="E72" s="439" t="str">
        <f>IF(B72=0,"",'3-MO04-EN01-échantillonnage'!L$53)</f>
        <v/>
      </c>
      <c r="F72" s="439" t="s">
        <v>17636</v>
      </c>
      <c r="G72" s="439" t="s">
        <v>17636</v>
      </c>
      <c r="H72" s="439"/>
      <c r="I72" s="439" t="s">
        <v>17636</v>
      </c>
      <c r="J72" s="440"/>
      <c r="K72" s="450"/>
    </row>
    <row r="73" spans="1:11" s="434" customFormat="1" ht="12.75" customHeight="1">
      <c r="A73" s="442"/>
      <c r="B73" s="443">
        <f>INDEX(plan,25,5)</f>
        <v>5</v>
      </c>
      <c r="C73" s="444" t="str">
        <f t="shared" ref="C73:C75" si="36">IF(B73=0,"","S24")</f>
        <v>S24</v>
      </c>
      <c r="D73" s="444" t="str">
        <f t="shared" ref="D73:D75" si="37">IF(B73=0,"","N5")</f>
        <v>N5</v>
      </c>
      <c r="E73" s="444" t="str">
        <f>IF(B73=0,"",'3-MO04-EN01-échantillonnage'!M$53)</f>
        <v>PhB</v>
      </c>
      <c r="F73" s="444" t="s">
        <v>17636</v>
      </c>
      <c r="G73" s="444" t="s">
        <v>17636</v>
      </c>
      <c r="H73" s="444"/>
      <c r="I73" s="444" t="s">
        <v>17636</v>
      </c>
      <c r="J73" s="445"/>
      <c r="K73" s="450"/>
    </row>
    <row r="74" spans="1:11" s="434" customFormat="1" ht="12.75" customHeight="1">
      <c r="A74" s="442"/>
      <c r="B74" s="443">
        <f>INDEX(plan,25,6)</f>
        <v>0</v>
      </c>
      <c r="C74" s="444" t="str">
        <f t="shared" si="36"/>
        <v/>
      </c>
      <c r="D74" s="444" t="str">
        <f t="shared" si="37"/>
        <v/>
      </c>
      <c r="E74" s="444" t="str">
        <f>IF(B74=0,"",'3-MO04-EN01-échantillonnage'!N$53)</f>
        <v/>
      </c>
      <c r="F74" s="444"/>
      <c r="G74" s="444"/>
      <c r="H74" s="444"/>
      <c r="I74" s="444"/>
      <c r="J74" s="445"/>
      <c r="K74" s="450"/>
    </row>
    <row r="75" spans="1:11" s="434" customFormat="1" ht="12.75" customHeight="1">
      <c r="A75" s="442"/>
      <c r="B75" s="447">
        <f>INDEX(plan,26,6)</f>
        <v>0</v>
      </c>
      <c r="C75" s="448" t="str">
        <f t="shared" si="36"/>
        <v/>
      </c>
      <c r="D75" s="448" t="str">
        <f t="shared" si="37"/>
        <v/>
      </c>
      <c r="E75" s="448" t="str">
        <f>IF(B75=0,"",'3-MO04-EN01-échantillonnage'!N$54)</f>
        <v/>
      </c>
      <c r="F75" s="448" t="s">
        <v>17636</v>
      </c>
      <c r="G75" s="448" t="s">
        <v>17636</v>
      </c>
      <c r="H75" s="448"/>
      <c r="I75" s="448" t="s">
        <v>17636</v>
      </c>
      <c r="J75" s="449"/>
      <c r="K75" s="450"/>
    </row>
    <row r="76" spans="1:11" s="434" customFormat="1" ht="12.75" customHeight="1">
      <c r="A76" s="454" t="s">
        <v>18001</v>
      </c>
      <c r="B76" s="438">
        <f>INDEX(plan,25,7)</f>
        <v>0</v>
      </c>
      <c r="C76" s="439" t="str">
        <f t="shared" si="33"/>
        <v/>
      </c>
      <c r="D76" s="439" t="str">
        <f>IF(B76=0,"","N3")</f>
        <v/>
      </c>
      <c r="E76" s="439" t="str">
        <f>IF(B76=0,"",'3-MO04-EN01-échantillonnage'!O$53)</f>
        <v/>
      </c>
      <c r="F76" s="439" t="s">
        <v>17636</v>
      </c>
      <c r="G76" s="439" t="s">
        <v>17636</v>
      </c>
      <c r="H76" s="439"/>
      <c r="I76" s="439" t="s">
        <v>17636</v>
      </c>
      <c r="J76" s="440"/>
      <c r="K76" s="450"/>
    </row>
    <row r="77" spans="1:11" s="434" customFormat="1" ht="12.75" customHeight="1">
      <c r="A77" s="455" t="s">
        <v>18002</v>
      </c>
      <c r="B77" s="443">
        <f>INDEX(plan,25,8)</f>
        <v>8</v>
      </c>
      <c r="C77" s="444" t="str">
        <f t="shared" ref="C77:C79" si="38">IF(B77=0,"","S24")</f>
        <v>S24</v>
      </c>
      <c r="D77" s="444" t="str">
        <f t="shared" ref="D77:D79" si="39">IF(B77=0,"","N3")</f>
        <v>N3</v>
      </c>
      <c r="E77" s="444" t="str">
        <f>IF(B77=0,"",'3-MO04-EN01-échantillonnage'!P$53)</f>
        <v>PhB</v>
      </c>
      <c r="F77" s="444" t="s">
        <v>17636</v>
      </c>
      <c r="G77" s="444" t="s">
        <v>17636</v>
      </c>
      <c r="H77" s="444"/>
      <c r="I77" s="444" t="s">
        <v>17636</v>
      </c>
      <c r="J77" s="445"/>
      <c r="K77" s="450"/>
    </row>
    <row r="78" spans="1:11" s="434" customFormat="1" ht="12.75" customHeight="1">
      <c r="A78" s="455"/>
      <c r="B78" s="443">
        <f>INDEX(plan,25,9)</f>
        <v>0</v>
      </c>
      <c r="C78" s="444" t="str">
        <f t="shared" si="38"/>
        <v/>
      </c>
      <c r="D78" s="444" t="str">
        <f t="shared" si="39"/>
        <v/>
      </c>
      <c r="E78" s="444" t="str">
        <f>IF(B78=0,"",'3-MO04-EN01-échantillonnage'!Q$53)</f>
        <v/>
      </c>
      <c r="F78" s="444"/>
      <c r="G78" s="444"/>
      <c r="H78" s="444"/>
      <c r="I78" s="444"/>
      <c r="J78" s="445"/>
      <c r="K78" s="450"/>
    </row>
    <row r="79" spans="1:11" s="434" customFormat="1" ht="12.75" customHeight="1">
      <c r="A79" s="455" t="s">
        <v>18003</v>
      </c>
      <c r="B79" s="447">
        <f>INDEX(plan,26,9)</f>
        <v>0</v>
      </c>
      <c r="C79" s="448" t="str">
        <f t="shared" si="38"/>
        <v/>
      </c>
      <c r="D79" s="448" t="str">
        <f t="shared" si="39"/>
        <v/>
      </c>
      <c r="E79" s="448" t="str">
        <f>IF(B79=0,"",'3-MO04-EN01-échantillonnage'!Q$54)</f>
        <v/>
      </c>
      <c r="F79" s="448" t="s">
        <v>17636</v>
      </c>
      <c r="G79" s="448" t="s">
        <v>17636</v>
      </c>
      <c r="H79" s="448"/>
      <c r="I79" s="448" t="s">
        <v>17636</v>
      </c>
      <c r="J79" s="449"/>
      <c r="K79" s="450"/>
    </row>
    <row r="80" spans="1:11" s="434" customFormat="1" ht="12.75" customHeight="1">
      <c r="A80" s="442"/>
      <c r="B80" s="438">
        <f>INDEX(plan,25,10)</f>
        <v>0</v>
      </c>
      <c r="C80" s="439" t="str">
        <f t="shared" si="33"/>
        <v/>
      </c>
      <c r="D80" s="439" t="str">
        <f>IF(B80=0,"","N1")</f>
        <v/>
      </c>
      <c r="E80" s="439" t="str">
        <f>IF(B80=0,"",'3-MO04-EN01-échantillonnage'!R$53)</f>
        <v/>
      </c>
      <c r="F80" s="439" t="s">
        <v>17636</v>
      </c>
      <c r="G80" s="439" t="s">
        <v>17636</v>
      </c>
      <c r="H80" s="439"/>
      <c r="I80" s="439" t="s">
        <v>17636</v>
      </c>
      <c r="J80" s="440"/>
      <c r="K80" s="450"/>
    </row>
    <row r="81" spans="1:11" s="434" customFormat="1" ht="12.75" customHeight="1">
      <c r="A81" s="442"/>
      <c r="B81" s="443">
        <f>INDEX(plan,25,11)</f>
        <v>9</v>
      </c>
      <c r="C81" s="444" t="str">
        <f t="shared" ref="C81:C83" si="40">IF(B81=0,"","S24")</f>
        <v>S24</v>
      </c>
      <c r="D81" s="444" t="str">
        <f t="shared" ref="D81:D83" si="41">IF(B81=0,"","N1")</f>
        <v>N1</v>
      </c>
      <c r="E81" s="444" t="str">
        <f>IF(B81=0,"",'3-MO04-EN01-échantillonnage'!S$53)</f>
        <v>PhC</v>
      </c>
      <c r="F81" s="444" t="s">
        <v>17636</v>
      </c>
      <c r="G81" s="444" t="s">
        <v>17636</v>
      </c>
      <c r="H81" s="444"/>
      <c r="I81" s="444" t="s">
        <v>17636</v>
      </c>
      <c r="J81" s="445"/>
      <c r="K81" s="450"/>
    </row>
    <row r="82" spans="1:11" s="434" customFormat="1" ht="12.75" customHeight="1">
      <c r="A82" s="442"/>
      <c r="B82" s="443">
        <f>INDEX(plan,25,12)</f>
        <v>0</v>
      </c>
      <c r="C82" s="444" t="str">
        <f t="shared" si="40"/>
        <v/>
      </c>
      <c r="D82" s="444" t="str">
        <f t="shared" si="41"/>
        <v/>
      </c>
      <c r="E82" s="444" t="str">
        <f>IF(B82=0,"",'3-MO04-EN01-échantillonnage'!T$53)</f>
        <v/>
      </c>
      <c r="F82" s="444"/>
      <c r="G82" s="444"/>
      <c r="H82" s="444"/>
      <c r="I82" s="444"/>
      <c r="J82" s="445"/>
      <c r="K82" s="450"/>
    </row>
    <row r="83" spans="1:11" s="434" customFormat="1" ht="12.75" customHeight="1">
      <c r="A83" s="451"/>
      <c r="B83" s="447">
        <f>INDEX(plan,26,12)</f>
        <v>0</v>
      </c>
      <c r="C83" s="448" t="str">
        <f t="shared" si="40"/>
        <v/>
      </c>
      <c r="D83" s="448" t="str">
        <f t="shared" si="41"/>
        <v/>
      </c>
      <c r="E83" s="448" t="str">
        <f>IF(B83=0,"",'3-MO04-EN01-échantillonnage'!T$54)</f>
        <v/>
      </c>
      <c r="F83" s="448" t="s">
        <v>17636</v>
      </c>
      <c r="G83" s="448" t="s">
        <v>17636</v>
      </c>
      <c r="H83" s="448"/>
      <c r="I83" s="448" t="s">
        <v>17636</v>
      </c>
      <c r="J83" s="449"/>
      <c r="K83" s="450"/>
    </row>
    <row r="84" spans="1:11" s="434" customFormat="1" ht="12.75" customHeight="1">
      <c r="A84" s="437"/>
      <c r="B84" s="438">
        <f>INDEX(plan,31,1)</f>
        <v>0</v>
      </c>
      <c r="C84" s="439" t="str">
        <f t="shared" ref="C84:C96" si="42">IF(B84=0,"","S30")</f>
        <v/>
      </c>
      <c r="D84" s="439" t="str">
        <f>IF(B84=0,"","N6")</f>
        <v/>
      </c>
      <c r="E84" s="439" t="str">
        <f>IF(B84=0,"",'3-MO04-EN01-échantillonnage'!I$59)</f>
        <v/>
      </c>
      <c r="F84" s="439" t="s">
        <v>17636</v>
      </c>
      <c r="G84" s="439" t="s">
        <v>17636</v>
      </c>
      <c r="H84" s="439"/>
      <c r="I84" s="439" t="s">
        <v>17636</v>
      </c>
      <c r="J84" s="440"/>
      <c r="K84" s="450"/>
    </row>
    <row r="85" spans="1:11" s="434" customFormat="1" ht="12.75" customHeight="1">
      <c r="A85" s="442"/>
      <c r="B85" s="443">
        <f>INDEX(plan,31,2)</f>
        <v>0</v>
      </c>
      <c r="C85" s="444" t="str">
        <f t="shared" ref="C85:C87" si="43">IF(B85=0,"","S30")</f>
        <v/>
      </c>
      <c r="D85" s="444" t="str">
        <f t="shared" ref="D85:D87" si="44">IF(B85=0,"","N6")</f>
        <v/>
      </c>
      <c r="E85" s="444" t="str">
        <f>IF(B85=0,"",'3-MO04-EN01-échantillonnage'!J$59)</f>
        <v/>
      </c>
      <c r="F85" s="444" t="s">
        <v>17636</v>
      </c>
      <c r="G85" s="444" t="s">
        <v>17636</v>
      </c>
      <c r="H85" s="444"/>
      <c r="I85" s="444" t="s">
        <v>17636</v>
      </c>
      <c r="J85" s="445"/>
      <c r="K85" s="450"/>
    </row>
    <row r="86" spans="1:11" s="434" customFormat="1" ht="12.75" customHeight="1">
      <c r="A86" s="442"/>
      <c r="B86" s="443">
        <f>INDEX(plan,31,3)</f>
        <v>0</v>
      </c>
      <c r="C86" s="444" t="str">
        <f t="shared" si="43"/>
        <v/>
      </c>
      <c r="D86" s="444" t="str">
        <f t="shared" si="44"/>
        <v/>
      </c>
      <c r="E86" s="444" t="str">
        <f>IF(B86=0,"",'3-MO04-EN01-échantillonnage'!K$59)</f>
        <v/>
      </c>
      <c r="F86" s="444"/>
      <c r="G86" s="444"/>
      <c r="H86" s="444"/>
      <c r="I86" s="444"/>
      <c r="J86" s="445"/>
      <c r="K86" s="450"/>
    </row>
    <row r="87" spans="1:11" s="434" customFormat="1" ht="12.75" customHeight="1">
      <c r="A87" s="442"/>
      <c r="B87" s="447">
        <f>INDEX(plan,32,3)</f>
        <v>0</v>
      </c>
      <c r="C87" s="448" t="str">
        <f t="shared" si="43"/>
        <v/>
      </c>
      <c r="D87" s="448" t="str">
        <f t="shared" si="44"/>
        <v/>
      </c>
      <c r="E87" s="448" t="str">
        <f>IF(B87=0,"",'3-MO04-EN01-échantillonnage'!K$60)</f>
        <v/>
      </c>
      <c r="F87" s="448" t="s">
        <v>17636</v>
      </c>
      <c r="G87" s="448" t="s">
        <v>17636</v>
      </c>
      <c r="H87" s="448"/>
      <c r="I87" s="448" t="s">
        <v>17636</v>
      </c>
      <c r="J87" s="449"/>
      <c r="K87" s="416"/>
    </row>
    <row r="88" spans="1:11" s="434" customFormat="1" ht="12.75" customHeight="1">
      <c r="A88" s="442"/>
      <c r="B88" s="438">
        <f>INDEX(plan,31,4)</f>
        <v>0</v>
      </c>
      <c r="C88" s="439" t="str">
        <f t="shared" si="42"/>
        <v/>
      </c>
      <c r="D88" s="439" t="str">
        <f>IF(B88=0,"","N5")</f>
        <v/>
      </c>
      <c r="E88" s="439" t="str">
        <f>IF(B88=0,"",'3-MO04-EN01-échantillonnage'!L$59)</f>
        <v/>
      </c>
      <c r="F88" s="439" t="s">
        <v>17636</v>
      </c>
      <c r="G88" s="439" t="s">
        <v>17636</v>
      </c>
      <c r="H88" s="439"/>
      <c r="I88" s="439" t="s">
        <v>17636</v>
      </c>
      <c r="J88" s="440"/>
      <c r="K88" s="416"/>
    </row>
    <row r="89" spans="1:11" s="434" customFormat="1" ht="12.75" customHeight="1">
      <c r="A89" s="442"/>
      <c r="B89" s="443">
        <f>INDEX(plan,31,5)</f>
        <v>6</v>
      </c>
      <c r="C89" s="444" t="str">
        <f t="shared" ref="C89:C91" si="45">IF(B89=0,"","S30")</f>
        <v>S30</v>
      </c>
      <c r="D89" s="444" t="str">
        <f t="shared" ref="D89:D91" si="46">IF(B89=0,"","N5")</f>
        <v>N5</v>
      </c>
      <c r="E89" s="444" t="str">
        <f>IF(B89=0,"",'3-MO04-EN01-échantillonnage'!M$59)</f>
        <v>PhB</v>
      </c>
      <c r="F89" s="444" t="s">
        <v>17636</v>
      </c>
      <c r="G89" s="444" t="s">
        <v>17636</v>
      </c>
      <c r="H89" s="444"/>
      <c r="I89" s="444" t="s">
        <v>17636</v>
      </c>
      <c r="J89" s="445"/>
      <c r="K89" s="416"/>
    </row>
    <row r="90" spans="1:11" s="434" customFormat="1" ht="12.75" customHeight="1">
      <c r="A90" s="442"/>
      <c r="B90" s="443">
        <f>INDEX(plan,31,6)</f>
        <v>0</v>
      </c>
      <c r="C90" s="444" t="str">
        <f t="shared" si="45"/>
        <v/>
      </c>
      <c r="D90" s="444" t="str">
        <f t="shared" si="46"/>
        <v/>
      </c>
      <c r="E90" s="444" t="str">
        <f>IF(B90=0,"",'3-MO04-EN01-échantillonnage'!N$59)</f>
        <v/>
      </c>
      <c r="F90" s="444"/>
      <c r="G90" s="444"/>
      <c r="H90" s="444"/>
      <c r="I90" s="444"/>
      <c r="J90" s="445"/>
      <c r="K90" s="416"/>
    </row>
    <row r="91" spans="1:11" s="434" customFormat="1" ht="12.75" customHeight="1">
      <c r="A91" s="442"/>
      <c r="B91" s="447">
        <f>INDEX(plan,32,6)</f>
        <v>0</v>
      </c>
      <c r="C91" s="448" t="str">
        <f t="shared" si="45"/>
        <v/>
      </c>
      <c r="D91" s="448" t="str">
        <f t="shared" si="46"/>
        <v/>
      </c>
      <c r="E91" s="448" t="str">
        <f>IF(B91=0,"",'3-MO04-EN01-échantillonnage'!N$60)</f>
        <v/>
      </c>
      <c r="F91" s="448" t="s">
        <v>17636</v>
      </c>
      <c r="G91" s="448" t="s">
        <v>17636</v>
      </c>
      <c r="H91" s="448"/>
      <c r="I91" s="448" t="s">
        <v>17636</v>
      </c>
      <c r="J91" s="449"/>
      <c r="K91" s="416"/>
    </row>
    <row r="92" spans="1:11" s="434" customFormat="1" ht="12.75" customHeight="1">
      <c r="A92" s="454" t="s">
        <v>18004</v>
      </c>
      <c r="B92" s="438">
        <f>INDEX(plan,31,7)</f>
        <v>0</v>
      </c>
      <c r="C92" s="439" t="str">
        <f t="shared" si="42"/>
        <v/>
      </c>
      <c r="D92" s="439" t="str">
        <f>IF(B92=0,"","N3")</f>
        <v/>
      </c>
      <c r="E92" s="439" t="str">
        <f>IF(B92=0,"",'3-MO04-EN01-échantillonnage'!O$59)</f>
        <v/>
      </c>
      <c r="F92" s="439" t="s">
        <v>17636</v>
      </c>
      <c r="G92" s="439" t="s">
        <v>17636</v>
      </c>
      <c r="H92" s="439"/>
      <c r="I92" s="439" t="s">
        <v>17636</v>
      </c>
      <c r="J92" s="440"/>
      <c r="K92" s="416"/>
    </row>
    <row r="93" spans="1:11" s="434" customFormat="1" ht="12.75" customHeight="1">
      <c r="A93" s="455" t="s">
        <v>18005</v>
      </c>
      <c r="B93" s="443">
        <f>INDEX(plan,31,8)</f>
        <v>11</v>
      </c>
      <c r="C93" s="444" t="str">
        <f t="shared" ref="C93:C95" si="47">IF(B93=0,"","S30")</f>
        <v>S30</v>
      </c>
      <c r="D93" s="444" t="str">
        <f t="shared" ref="D93:D95" si="48">IF(B93=0,"","N3")</f>
        <v>N3</v>
      </c>
      <c r="E93" s="444" t="str">
        <f>IF(B93=0,"",'3-MO04-EN01-échantillonnage'!P$59)</f>
        <v>PhC</v>
      </c>
      <c r="F93" s="444" t="s">
        <v>17636</v>
      </c>
      <c r="G93" s="444" t="s">
        <v>17636</v>
      </c>
      <c r="H93" s="444"/>
      <c r="I93" s="444" t="s">
        <v>17636</v>
      </c>
      <c r="J93" s="445"/>
      <c r="K93" s="416"/>
    </row>
    <row r="94" spans="1:11" s="434" customFormat="1" ht="12.75" customHeight="1">
      <c r="A94" s="455"/>
      <c r="B94" s="443">
        <f>INDEX(plan,31,9)</f>
        <v>0</v>
      </c>
      <c r="C94" s="444" t="str">
        <f t="shared" si="47"/>
        <v/>
      </c>
      <c r="D94" s="444" t="str">
        <f t="shared" si="48"/>
        <v/>
      </c>
      <c r="E94" s="444" t="str">
        <f>IF(B94=0,"",'3-MO04-EN01-échantillonnage'!Q$59)</f>
        <v/>
      </c>
      <c r="F94" s="444"/>
      <c r="G94" s="444"/>
      <c r="H94" s="444"/>
      <c r="I94" s="444"/>
      <c r="J94" s="445"/>
      <c r="K94" s="416"/>
    </row>
    <row r="95" spans="1:11" s="434" customFormat="1" ht="12.75" customHeight="1">
      <c r="A95" s="455" t="s">
        <v>18006</v>
      </c>
      <c r="B95" s="447">
        <f>INDEX(plan,32,9)</f>
        <v>0</v>
      </c>
      <c r="C95" s="448" t="str">
        <f t="shared" si="47"/>
        <v/>
      </c>
      <c r="D95" s="448" t="str">
        <f t="shared" si="48"/>
        <v/>
      </c>
      <c r="E95" s="448" t="str">
        <f>IF(B95=0,"",'3-MO04-EN01-échantillonnage'!Q$60)</f>
        <v/>
      </c>
      <c r="F95" s="448" t="s">
        <v>17636</v>
      </c>
      <c r="G95" s="448" t="s">
        <v>17636</v>
      </c>
      <c r="H95" s="448"/>
      <c r="I95" s="448" t="s">
        <v>17636</v>
      </c>
      <c r="J95" s="449"/>
      <c r="K95" s="416"/>
    </row>
    <row r="96" spans="1:11" s="434" customFormat="1" ht="12.75" customHeight="1">
      <c r="A96" s="442"/>
      <c r="B96" s="438">
        <f>INDEX(plan,31,10)</f>
        <v>0</v>
      </c>
      <c r="C96" s="439" t="str">
        <f t="shared" si="42"/>
        <v/>
      </c>
      <c r="D96" s="439" t="str">
        <f>IF(B96=0,"","N1")</f>
        <v/>
      </c>
      <c r="E96" s="439" t="str">
        <f>IF(B96=0,"",'3-MO04-EN01-échantillonnage'!R$59)</f>
        <v/>
      </c>
      <c r="F96" s="439" t="s">
        <v>17636</v>
      </c>
      <c r="G96" s="439" t="s">
        <v>17636</v>
      </c>
      <c r="H96" s="439"/>
      <c r="I96" s="439" t="s">
        <v>17636</v>
      </c>
      <c r="J96" s="440"/>
      <c r="K96" s="416"/>
    </row>
    <row r="97" spans="1:11" s="434" customFormat="1" ht="12.75" customHeight="1">
      <c r="A97" s="442"/>
      <c r="B97" s="443">
        <f>INDEX(plan,31,11)</f>
        <v>0</v>
      </c>
      <c r="C97" s="444" t="str">
        <f t="shared" ref="C97:C99" si="49">IF(B97=0,"","S30")</f>
        <v/>
      </c>
      <c r="D97" s="444" t="str">
        <f t="shared" ref="D97:D99" si="50">IF(B97=0,"","N1")</f>
        <v/>
      </c>
      <c r="E97" s="444" t="str">
        <f>IF(B97=0,"",'3-MO04-EN01-échantillonnage'!S$59)</f>
        <v/>
      </c>
      <c r="F97" s="444" t="s">
        <v>17636</v>
      </c>
      <c r="G97" s="444" t="s">
        <v>17636</v>
      </c>
      <c r="H97" s="444"/>
      <c r="I97" s="444" t="s">
        <v>17636</v>
      </c>
      <c r="J97" s="445"/>
      <c r="K97" s="416"/>
    </row>
    <row r="98" spans="1:11" s="434" customFormat="1" ht="12.75" customHeight="1">
      <c r="A98" s="442"/>
      <c r="B98" s="443">
        <f>INDEX(plan,31,12)</f>
        <v>0</v>
      </c>
      <c r="C98" s="444" t="str">
        <f t="shared" si="49"/>
        <v/>
      </c>
      <c r="D98" s="444" t="str">
        <f t="shared" si="50"/>
        <v/>
      </c>
      <c r="E98" s="444" t="str">
        <f>IF(B98=0,"",'3-MO04-EN01-échantillonnage'!T$59)</f>
        <v/>
      </c>
      <c r="F98" s="444"/>
      <c r="G98" s="444"/>
      <c r="H98" s="444"/>
      <c r="I98" s="444"/>
      <c r="J98" s="445"/>
      <c r="K98" s="416"/>
    </row>
    <row r="99" spans="1:11" s="434" customFormat="1" ht="12.75" customHeight="1">
      <c r="A99" s="451"/>
      <c r="B99" s="447">
        <f>INDEX(plan,32,12)</f>
        <v>0</v>
      </c>
      <c r="C99" s="448" t="str">
        <f t="shared" si="49"/>
        <v/>
      </c>
      <c r="D99" s="448" t="str">
        <f t="shared" si="50"/>
        <v/>
      </c>
      <c r="E99" s="448" t="str">
        <f>IF(B99=0,"",'3-MO04-EN01-échantillonnage'!T$60)</f>
        <v/>
      </c>
      <c r="F99" s="448" t="s">
        <v>17636</v>
      </c>
      <c r="G99" s="448" t="s">
        <v>17636</v>
      </c>
      <c r="H99" s="448"/>
      <c r="I99" s="448" t="s">
        <v>17636</v>
      </c>
      <c r="J99" s="449"/>
      <c r="K99" s="416"/>
    </row>
    <row r="100" spans="1:11" s="434" customFormat="1" ht="12.75" customHeight="1">
      <c r="A100" s="437"/>
      <c r="B100" s="438">
        <f>INDEX(plan,37,1)</f>
        <v>0</v>
      </c>
      <c r="C100" s="439" t="str">
        <f t="shared" ref="C100:C112" si="51">IF(B100=0,"","S9")</f>
        <v/>
      </c>
      <c r="D100" s="439" t="str">
        <f>IF(B100=0,"","N6")</f>
        <v/>
      </c>
      <c r="E100" s="439" t="str">
        <f>IF(B100=0,"",'3-MO04-EN01-échantillonnage'!I$65)</f>
        <v/>
      </c>
      <c r="F100" s="439" t="s">
        <v>17636</v>
      </c>
      <c r="G100" s="439" t="s">
        <v>17636</v>
      </c>
      <c r="H100" s="439"/>
      <c r="I100" s="439" t="s">
        <v>17636</v>
      </c>
      <c r="J100" s="440"/>
      <c r="K100" s="416"/>
    </row>
    <row r="101" spans="1:11" s="434" customFormat="1" ht="12.75" customHeight="1">
      <c r="A101" s="442"/>
      <c r="B101" s="443">
        <f>INDEX(plan,37,2)</f>
        <v>0</v>
      </c>
      <c r="C101" s="444" t="str">
        <f t="shared" ref="C101:C103" si="52">IF(B101=0,"","S9")</f>
        <v/>
      </c>
      <c r="D101" s="444" t="str">
        <f t="shared" ref="D101:D103" si="53">IF(B101=0,"","N6")</f>
        <v/>
      </c>
      <c r="E101" s="444" t="str">
        <f>IF(B101=0,"",'3-MO04-EN01-échantillonnage'!J$65)</f>
        <v/>
      </c>
      <c r="F101" s="444" t="s">
        <v>17636</v>
      </c>
      <c r="G101" s="444" t="s">
        <v>17636</v>
      </c>
      <c r="H101" s="444"/>
      <c r="I101" s="444" t="s">
        <v>17636</v>
      </c>
      <c r="J101" s="445"/>
      <c r="K101" s="416"/>
    </row>
    <row r="102" spans="1:11" s="434" customFormat="1" ht="12.75" customHeight="1">
      <c r="A102" s="442"/>
      <c r="B102" s="443">
        <f>INDEX(plan,37,3)</f>
        <v>0</v>
      </c>
      <c r="C102" s="444" t="str">
        <f t="shared" si="52"/>
        <v/>
      </c>
      <c r="D102" s="444" t="str">
        <f t="shared" si="53"/>
        <v/>
      </c>
      <c r="E102" s="444" t="str">
        <f>IF(B102=0,"",'3-MO04-EN01-échantillonnage'!K$65)</f>
        <v/>
      </c>
      <c r="F102" s="444"/>
      <c r="G102" s="444"/>
      <c r="H102" s="444"/>
      <c r="I102" s="444"/>
      <c r="J102" s="445"/>
      <c r="K102" s="416"/>
    </row>
    <row r="103" spans="1:11" s="434" customFormat="1" ht="12.75" customHeight="1">
      <c r="A103" s="442"/>
      <c r="B103" s="447">
        <f>INDEX(plan,38,3)</f>
        <v>0</v>
      </c>
      <c r="C103" s="448" t="str">
        <f t="shared" si="52"/>
        <v/>
      </c>
      <c r="D103" s="448" t="str">
        <f t="shared" si="53"/>
        <v/>
      </c>
      <c r="E103" s="448" t="str">
        <f>IF(B103=0,"",'3-MO04-EN01-échantillonnage'!K$66)</f>
        <v/>
      </c>
      <c r="F103" s="448" t="s">
        <v>17636</v>
      </c>
      <c r="G103" s="448" t="s">
        <v>17636</v>
      </c>
      <c r="H103" s="448"/>
      <c r="I103" s="448" t="s">
        <v>17636</v>
      </c>
      <c r="J103" s="449"/>
      <c r="K103" s="416"/>
    </row>
    <row r="104" spans="1:11" s="434" customFormat="1" ht="12.75" customHeight="1">
      <c r="A104" s="442"/>
      <c r="B104" s="438">
        <f>INDEX(plan,37,4)</f>
        <v>0</v>
      </c>
      <c r="C104" s="439" t="str">
        <f t="shared" si="51"/>
        <v/>
      </c>
      <c r="D104" s="439" t="str">
        <f>IF(B104=0,"","N5")</f>
        <v/>
      </c>
      <c r="E104" s="439" t="str">
        <f>IF(B104=0,"",'3-MO04-EN01-échantillonnage'!L$65)</f>
        <v/>
      </c>
      <c r="F104" s="439" t="s">
        <v>17636</v>
      </c>
      <c r="G104" s="439" t="s">
        <v>17636</v>
      </c>
      <c r="H104" s="439"/>
      <c r="I104" s="439" t="s">
        <v>17636</v>
      </c>
      <c r="J104" s="440"/>
      <c r="K104" s="416"/>
    </row>
    <row r="105" spans="1:11" s="434" customFormat="1" ht="12.75" customHeight="1">
      <c r="A105" s="442"/>
      <c r="B105" s="443">
        <f>INDEX(plan,37,5)</f>
        <v>0</v>
      </c>
      <c r="C105" s="444" t="str">
        <f t="shared" ref="C105:C107" si="54">IF(B105=0,"","S9")</f>
        <v/>
      </c>
      <c r="D105" s="444" t="str">
        <f t="shared" ref="D105:D107" si="55">IF(B105=0,"","N5")</f>
        <v/>
      </c>
      <c r="E105" s="444" t="str">
        <f>IF(B105=0,"",'3-MO04-EN01-échantillonnage'!M$65)</f>
        <v/>
      </c>
      <c r="F105" s="444" t="s">
        <v>17636</v>
      </c>
      <c r="G105" s="444" t="s">
        <v>17636</v>
      </c>
      <c r="H105" s="444"/>
      <c r="I105" s="444" t="s">
        <v>17636</v>
      </c>
      <c r="J105" s="445"/>
      <c r="K105" s="416"/>
    </row>
    <row r="106" spans="1:11" s="434" customFormat="1" ht="12.75" customHeight="1">
      <c r="A106" s="442"/>
      <c r="B106" s="443">
        <f>INDEX(plan,37,6)</f>
        <v>0</v>
      </c>
      <c r="C106" s="444" t="str">
        <f t="shared" si="54"/>
        <v/>
      </c>
      <c r="D106" s="444" t="str">
        <f t="shared" si="55"/>
        <v/>
      </c>
      <c r="E106" s="444" t="str">
        <f>IF(B106=0,"",'3-MO04-EN01-échantillonnage'!N$65)</f>
        <v/>
      </c>
      <c r="F106" s="444"/>
      <c r="G106" s="444"/>
      <c r="H106" s="444"/>
      <c r="I106" s="444"/>
      <c r="J106" s="445"/>
      <c r="K106" s="416"/>
    </row>
    <row r="107" spans="1:11" s="434" customFormat="1" ht="12.75" customHeight="1">
      <c r="A107" s="442"/>
      <c r="B107" s="447">
        <f>INDEX(plan,38,6)</f>
        <v>0</v>
      </c>
      <c r="C107" s="448" t="str">
        <f t="shared" si="54"/>
        <v/>
      </c>
      <c r="D107" s="448" t="str">
        <f t="shared" si="55"/>
        <v/>
      </c>
      <c r="E107" s="448" t="str">
        <f>IF(B107=0,"",'3-MO04-EN01-échantillonnage'!N$66)</f>
        <v/>
      </c>
      <c r="F107" s="448" t="s">
        <v>17636</v>
      </c>
      <c r="G107" s="448" t="s">
        <v>17636</v>
      </c>
      <c r="H107" s="448"/>
      <c r="I107" s="448" t="s">
        <v>17636</v>
      </c>
      <c r="J107" s="449"/>
      <c r="K107" s="416"/>
    </row>
    <row r="108" spans="1:11" s="434" customFormat="1" ht="12.75" customHeight="1">
      <c r="A108" s="454"/>
      <c r="B108" s="438">
        <f>INDEX(plan,37,7)</f>
        <v>0</v>
      </c>
      <c r="C108" s="439" t="str">
        <f t="shared" si="51"/>
        <v/>
      </c>
      <c r="D108" s="439" t="str">
        <f>IF(B108=0,"","N3")</f>
        <v/>
      </c>
      <c r="E108" s="439" t="str">
        <f>IF(B108=0,"",'3-MO04-EN01-échantillonnage'!O$65)</f>
        <v/>
      </c>
      <c r="F108" s="439" t="s">
        <v>17636</v>
      </c>
      <c r="G108" s="439" t="s">
        <v>17636</v>
      </c>
      <c r="H108" s="439"/>
      <c r="I108" s="439" t="s">
        <v>17636</v>
      </c>
      <c r="J108" s="440"/>
      <c r="K108" s="416"/>
    </row>
    <row r="109" spans="1:11" s="434" customFormat="1" ht="12.75" customHeight="1">
      <c r="A109" s="454" t="s">
        <v>18007</v>
      </c>
      <c r="B109" s="443">
        <f>INDEX(plan,37,8)</f>
        <v>4</v>
      </c>
      <c r="C109" s="444" t="str">
        <f t="shared" ref="C109:C111" si="56">IF(B109=0,"","S9")</f>
        <v>S9</v>
      </c>
      <c r="D109" s="444" t="str">
        <f t="shared" ref="D109:D111" si="57">IF(B109=0,"","N3")</f>
        <v>N3</v>
      </c>
      <c r="E109" s="444" t="str">
        <f>IF(B109=0,"",'3-MO04-EN01-échantillonnage'!P$65)</f>
        <v>PhA</v>
      </c>
      <c r="F109" s="444" t="s">
        <v>17636</v>
      </c>
      <c r="G109" s="444" t="s">
        <v>17636</v>
      </c>
      <c r="H109" s="444"/>
      <c r="I109" s="444" t="s">
        <v>17636</v>
      </c>
      <c r="J109" s="445"/>
      <c r="K109" s="416"/>
    </row>
    <row r="110" spans="1:11" s="434" customFormat="1" ht="12.75" customHeight="1">
      <c r="A110" s="454"/>
      <c r="B110" s="443">
        <f>INDEX(plan,37,9)</f>
        <v>0</v>
      </c>
      <c r="C110" s="444" t="str">
        <f t="shared" si="56"/>
        <v/>
      </c>
      <c r="D110" s="444" t="str">
        <f t="shared" si="57"/>
        <v/>
      </c>
      <c r="E110" s="444" t="str">
        <f>IF(B110=0,"",'3-MO04-EN01-échantillonnage'!Q$65)</f>
        <v/>
      </c>
      <c r="F110" s="444"/>
      <c r="G110" s="444"/>
      <c r="H110" s="444"/>
      <c r="I110" s="444"/>
      <c r="J110" s="445"/>
      <c r="K110" s="416"/>
    </row>
    <row r="111" spans="1:11" s="434" customFormat="1" ht="12.75" customHeight="1">
      <c r="A111" s="455" t="s">
        <v>18008</v>
      </c>
      <c r="B111" s="447">
        <f>INDEX(plan,38,9)</f>
        <v>0</v>
      </c>
      <c r="C111" s="448" t="str">
        <f t="shared" si="56"/>
        <v/>
      </c>
      <c r="D111" s="448" t="str">
        <f t="shared" si="57"/>
        <v/>
      </c>
      <c r="E111" s="448" t="str">
        <f>IF(B111=0,"",'3-MO04-EN01-échantillonnage'!Q$66)</f>
        <v/>
      </c>
      <c r="F111" s="448" t="s">
        <v>17636</v>
      </c>
      <c r="G111" s="448" t="s">
        <v>17636</v>
      </c>
      <c r="H111" s="448"/>
      <c r="I111" s="448" t="s">
        <v>17636</v>
      </c>
      <c r="J111" s="449"/>
      <c r="K111" s="416"/>
    </row>
    <row r="112" spans="1:11" s="434" customFormat="1" ht="12.75" customHeight="1">
      <c r="A112" s="442"/>
      <c r="B112" s="438">
        <f>INDEX(plan,37,10)</f>
        <v>0</v>
      </c>
      <c r="C112" s="439" t="str">
        <f t="shared" si="51"/>
        <v/>
      </c>
      <c r="D112" s="439" t="str">
        <f>IF(B112=0,"","N1")</f>
        <v/>
      </c>
      <c r="E112" s="439" t="str">
        <f>IF(B112=0,"",'3-MO04-EN01-échantillonnage'!R$65)</f>
        <v/>
      </c>
      <c r="F112" s="439" t="s">
        <v>17636</v>
      </c>
      <c r="G112" s="439" t="s">
        <v>17636</v>
      </c>
      <c r="H112" s="439"/>
      <c r="I112" s="439" t="s">
        <v>17636</v>
      </c>
      <c r="J112" s="440"/>
      <c r="K112" s="416"/>
    </row>
    <row r="113" spans="1:11" s="434" customFormat="1" ht="12.75" customHeight="1">
      <c r="A113" s="442"/>
      <c r="B113" s="443">
        <f>INDEX(plan,37,11)</f>
        <v>0</v>
      </c>
      <c r="C113" s="444" t="str">
        <f t="shared" ref="C113:C115" si="58">IF(B113=0,"","S9")</f>
        <v/>
      </c>
      <c r="D113" s="444" t="str">
        <f t="shared" ref="D113:D115" si="59">IF(B113=0,"","N1")</f>
        <v/>
      </c>
      <c r="E113" s="444" t="str">
        <f>IF(B113=0,"",'3-MO04-EN01-échantillonnage'!S$65)</f>
        <v/>
      </c>
      <c r="F113" s="444"/>
      <c r="G113" s="444"/>
      <c r="H113" s="444"/>
      <c r="I113" s="444"/>
      <c r="J113" s="445"/>
      <c r="K113" s="416"/>
    </row>
    <row r="114" spans="1:11" s="434" customFormat="1" ht="12.75" customHeight="1">
      <c r="A114" s="442"/>
      <c r="B114" s="443">
        <f>INDEX(plan,37,12)</f>
        <v>0</v>
      </c>
      <c r="C114" s="444" t="str">
        <f t="shared" si="58"/>
        <v/>
      </c>
      <c r="D114" s="444" t="str">
        <f t="shared" si="59"/>
        <v/>
      </c>
      <c r="E114" s="444" t="str">
        <f>IF(B114=0,"",'3-MO04-EN01-échantillonnage'!T$65)</f>
        <v/>
      </c>
      <c r="F114" s="444" t="s">
        <v>17636</v>
      </c>
      <c r="G114" s="444" t="s">
        <v>17636</v>
      </c>
      <c r="H114" s="444"/>
      <c r="I114" s="444" t="s">
        <v>17636</v>
      </c>
      <c r="J114" s="445"/>
      <c r="K114" s="416"/>
    </row>
    <row r="115" spans="1:11" s="434" customFormat="1" ht="12.75" customHeight="1">
      <c r="A115" s="451"/>
      <c r="B115" s="447">
        <f>INDEX(plan,38,12)</f>
        <v>0</v>
      </c>
      <c r="C115" s="448" t="str">
        <f t="shared" si="58"/>
        <v/>
      </c>
      <c r="D115" s="448" t="str">
        <f t="shared" si="59"/>
        <v/>
      </c>
      <c r="E115" s="448" t="str">
        <f>IF(B115=0,"",'3-MO04-EN01-échantillonnage'!T$66)</f>
        <v/>
      </c>
      <c r="F115" s="448" t="s">
        <v>17636</v>
      </c>
      <c r="G115" s="448" t="s">
        <v>17636</v>
      </c>
      <c r="H115" s="448"/>
      <c r="I115" s="448" t="s">
        <v>17636</v>
      </c>
      <c r="J115" s="449"/>
      <c r="K115" s="416"/>
    </row>
    <row r="116" spans="1:11" s="434" customFormat="1" ht="12.75" customHeight="1">
      <c r="A116" s="437"/>
      <c r="B116" s="438">
        <f>INDEX(plan,43,1)</f>
        <v>0</v>
      </c>
      <c r="C116" s="439" t="str">
        <f t="shared" ref="C116:C128" si="60">IF(B116=0,"","S10")</f>
        <v/>
      </c>
      <c r="D116" s="439" t="str">
        <f>IF(B116=0,"","N6")</f>
        <v/>
      </c>
      <c r="E116" s="439" t="str">
        <f>IF(B116=0,"",'3-MO04-EN01-échantillonnage'!I$71)</f>
        <v/>
      </c>
      <c r="F116" s="439" t="s">
        <v>17636</v>
      </c>
      <c r="G116" s="439" t="s">
        <v>17636</v>
      </c>
      <c r="H116" s="439"/>
      <c r="I116" s="439" t="s">
        <v>17636</v>
      </c>
      <c r="J116" s="440"/>
      <c r="K116" s="416"/>
    </row>
    <row r="117" spans="1:11" s="434" customFormat="1" ht="12.75" customHeight="1">
      <c r="A117" s="442"/>
      <c r="B117" s="443">
        <f>INDEX(plan,43,2)</f>
        <v>0</v>
      </c>
      <c r="C117" s="444" t="str">
        <f t="shared" ref="C117:C119" si="61">IF(B117=0,"","S10")</f>
        <v/>
      </c>
      <c r="D117" s="444" t="str">
        <f t="shared" ref="D117:D119" si="62">IF(B117=0,"","N6")</f>
        <v/>
      </c>
      <c r="E117" s="444" t="str">
        <f>IF(B117=0,"",'3-MO04-EN01-échantillonnage'!J$71)</f>
        <v/>
      </c>
      <c r="F117" s="444" t="s">
        <v>17636</v>
      </c>
      <c r="G117" s="444" t="s">
        <v>17636</v>
      </c>
      <c r="H117" s="444"/>
      <c r="I117" s="444" t="s">
        <v>17636</v>
      </c>
      <c r="J117" s="445"/>
      <c r="K117" s="416"/>
    </row>
    <row r="118" spans="1:11" s="434" customFormat="1" ht="12.75" customHeight="1">
      <c r="A118" s="442"/>
      <c r="B118" s="443">
        <f>INDEX(plan,43,3)</f>
        <v>0</v>
      </c>
      <c r="C118" s="444" t="str">
        <f t="shared" si="61"/>
        <v/>
      </c>
      <c r="D118" s="444" t="str">
        <f t="shared" si="62"/>
        <v/>
      </c>
      <c r="E118" s="444" t="str">
        <f>IF(B118=0,"",'3-MO04-EN01-échantillonnage'!K$71)</f>
        <v/>
      </c>
      <c r="F118" s="444"/>
      <c r="G118" s="444"/>
      <c r="H118" s="444"/>
      <c r="I118" s="444"/>
      <c r="J118" s="445"/>
      <c r="K118" s="416"/>
    </row>
    <row r="119" spans="1:11" s="434" customFormat="1" ht="12.75" customHeight="1">
      <c r="A119" s="442"/>
      <c r="B119" s="447">
        <f>INDEX(plan,44,3)</f>
        <v>0</v>
      </c>
      <c r="C119" s="448" t="str">
        <f t="shared" si="61"/>
        <v/>
      </c>
      <c r="D119" s="448" t="str">
        <f t="shared" si="62"/>
        <v/>
      </c>
      <c r="E119" s="448" t="str">
        <f>IF(B119=0,"",'3-MO04-EN01-échantillonnage'!K$72)</f>
        <v/>
      </c>
      <c r="F119" s="448" t="s">
        <v>17636</v>
      </c>
      <c r="G119" s="448" t="s">
        <v>17636</v>
      </c>
      <c r="H119" s="448"/>
      <c r="I119" s="448" t="s">
        <v>17636</v>
      </c>
      <c r="J119" s="449"/>
      <c r="K119" s="416"/>
    </row>
    <row r="120" spans="1:11" s="434" customFormat="1" ht="12.75" customHeight="1">
      <c r="A120" s="442"/>
      <c r="B120" s="438">
        <f>INDEX(plan,43,4)</f>
        <v>0</v>
      </c>
      <c r="C120" s="439" t="str">
        <f t="shared" si="60"/>
        <v/>
      </c>
      <c r="D120" s="439" t="str">
        <f>IF(B120=0,"","N5")</f>
        <v/>
      </c>
      <c r="E120" s="439" t="str">
        <f>IF(B120=0,"",'3-MO04-EN01-échantillonnage'!L$71)</f>
        <v/>
      </c>
      <c r="F120" s="439" t="s">
        <v>17636</v>
      </c>
      <c r="G120" s="439" t="s">
        <v>17636</v>
      </c>
      <c r="H120" s="439"/>
      <c r="I120" s="439" t="s">
        <v>17636</v>
      </c>
      <c r="J120" s="440"/>
      <c r="K120" s="416"/>
    </row>
    <row r="121" spans="1:11" s="434" customFormat="1" ht="12.75" customHeight="1">
      <c r="A121" s="442"/>
      <c r="B121" s="443">
        <f>INDEX(plan,43,5)</f>
        <v>0</v>
      </c>
      <c r="C121" s="444" t="str">
        <f t="shared" ref="C121:C123" si="63">IF(B121=0,"","S10")</f>
        <v/>
      </c>
      <c r="D121" s="444" t="str">
        <f t="shared" ref="D121:D123" si="64">IF(B121=0,"","N5")</f>
        <v/>
      </c>
      <c r="E121" s="444" t="str">
        <f>IF(B121=0,"",'3-MO04-EN01-échantillonnage'!M$71)</f>
        <v/>
      </c>
      <c r="F121" s="444" t="s">
        <v>17636</v>
      </c>
      <c r="G121" s="444" t="s">
        <v>17636</v>
      </c>
      <c r="H121" s="444"/>
      <c r="I121" s="444" t="s">
        <v>17636</v>
      </c>
      <c r="J121" s="445"/>
      <c r="K121" s="416"/>
    </row>
    <row r="122" spans="1:11" s="434" customFormat="1" ht="12.75" customHeight="1">
      <c r="A122" s="442"/>
      <c r="B122" s="443">
        <f>INDEX(plan,43,6)</f>
        <v>0</v>
      </c>
      <c r="C122" s="444" t="str">
        <f t="shared" si="63"/>
        <v/>
      </c>
      <c r="D122" s="444" t="str">
        <f t="shared" si="64"/>
        <v/>
      </c>
      <c r="E122" s="444" t="str">
        <f>IF(B122=0,"",'3-MO04-EN01-échantillonnage'!N$71)</f>
        <v/>
      </c>
      <c r="F122" s="444"/>
      <c r="G122" s="444"/>
      <c r="H122" s="444"/>
      <c r="I122" s="444"/>
      <c r="J122" s="445"/>
      <c r="K122" s="416"/>
    </row>
    <row r="123" spans="1:11" s="434" customFormat="1" ht="12.75" customHeight="1">
      <c r="A123" s="442"/>
      <c r="B123" s="447">
        <f>INDEX(plan,44,6)</f>
        <v>0</v>
      </c>
      <c r="C123" s="448" t="str">
        <f t="shared" si="63"/>
        <v/>
      </c>
      <c r="D123" s="448" t="str">
        <f t="shared" si="64"/>
        <v/>
      </c>
      <c r="E123" s="448" t="str">
        <f>IF(B123=0,"",'3-MO04-EN01-échantillonnage'!N$72)</f>
        <v/>
      </c>
      <c r="F123" s="448" t="s">
        <v>17636</v>
      </c>
      <c r="G123" s="448" t="s">
        <v>17636</v>
      </c>
      <c r="H123" s="448"/>
      <c r="I123" s="448" t="s">
        <v>17636</v>
      </c>
      <c r="J123" s="449"/>
      <c r="K123" s="416"/>
    </row>
    <row r="124" spans="1:11" s="434" customFormat="1" ht="12.75" customHeight="1">
      <c r="A124" s="454" t="s">
        <v>18009</v>
      </c>
      <c r="B124" s="438">
        <f>INDEX(plan,43,7)</f>
        <v>0</v>
      </c>
      <c r="C124" s="439" t="str">
        <f t="shared" si="60"/>
        <v/>
      </c>
      <c r="D124" s="439" t="str">
        <f>IF(B124=0,"","N3")</f>
        <v/>
      </c>
      <c r="E124" s="439" t="str">
        <f>IF(B124=0,"",'3-MO04-EN01-échantillonnage'!O$71)</f>
        <v/>
      </c>
      <c r="F124" s="439" t="s">
        <v>17636</v>
      </c>
      <c r="G124" s="439" t="s">
        <v>17636</v>
      </c>
      <c r="H124" s="439"/>
      <c r="I124" s="439" t="s">
        <v>17636</v>
      </c>
      <c r="J124" s="440"/>
      <c r="K124" s="416"/>
    </row>
    <row r="125" spans="1:11" s="434" customFormat="1" ht="12.75" customHeight="1">
      <c r="A125" s="455" t="s">
        <v>18010</v>
      </c>
      <c r="B125" s="443">
        <f>INDEX(plan,43,8)</f>
        <v>0</v>
      </c>
      <c r="C125" s="444" t="str">
        <f t="shared" ref="C125:C127" si="65">IF(B125=0,"","S10")</f>
        <v/>
      </c>
      <c r="D125" s="444" t="str">
        <f t="shared" ref="D125:D127" si="66">IF(B125=0,"","N3")</f>
        <v/>
      </c>
      <c r="E125" s="444" t="str">
        <f>IF(B125=0,"",'3-MO04-EN01-échantillonnage'!P$71)</f>
        <v/>
      </c>
      <c r="F125" s="444" t="s">
        <v>17636</v>
      </c>
      <c r="G125" s="444" t="s">
        <v>17636</v>
      </c>
      <c r="H125" s="444"/>
      <c r="I125" s="444" t="s">
        <v>17636</v>
      </c>
      <c r="J125" s="445"/>
      <c r="K125" s="416"/>
    </row>
    <row r="126" spans="1:11" s="434" customFormat="1" ht="12.75" customHeight="1">
      <c r="A126" s="455"/>
      <c r="B126" s="443">
        <f>INDEX(plan,43,9)</f>
        <v>0</v>
      </c>
      <c r="C126" s="444" t="str">
        <f t="shared" si="65"/>
        <v/>
      </c>
      <c r="D126" s="444" t="str">
        <f t="shared" si="66"/>
        <v/>
      </c>
      <c r="E126" s="444" t="str">
        <f>IF(B126=0,"",'3-MO04-EN01-échantillonnage'!Q$71)</f>
        <v/>
      </c>
      <c r="F126" s="444"/>
      <c r="G126" s="444"/>
      <c r="H126" s="444"/>
      <c r="I126" s="444"/>
      <c r="J126" s="445"/>
      <c r="K126" s="416"/>
    </row>
    <row r="127" spans="1:11" s="434" customFormat="1" ht="12.75" customHeight="1">
      <c r="A127" s="455" t="s">
        <v>18011</v>
      </c>
      <c r="B127" s="447">
        <f>INDEX(plan,44,9)</f>
        <v>0</v>
      </c>
      <c r="C127" s="448" t="str">
        <f t="shared" si="65"/>
        <v/>
      </c>
      <c r="D127" s="448" t="str">
        <f t="shared" si="66"/>
        <v/>
      </c>
      <c r="E127" s="448" t="str">
        <f>IF(B127=0,"",'3-MO04-EN01-échantillonnage'!Q$72)</f>
        <v/>
      </c>
      <c r="F127" s="448" t="s">
        <v>17636</v>
      </c>
      <c r="G127" s="448" t="s">
        <v>17636</v>
      </c>
      <c r="H127" s="448"/>
      <c r="I127" s="448" t="s">
        <v>17636</v>
      </c>
      <c r="J127" s="449"/>
      <c r="K127" s="416"/>
    </row>
    <row r="128" spans="1:11" s="434" customFormat="1" ht="12.75" customHeight="1">
      <c r="A128" s="442"/>
      <c r="B128" s="438">
        <f>INDEX(plan,43,10)</f>
        <v>0</v>
      </c>
      <c r="C128" s="439" t="str">
        <f t="shared" si="60"/>
        <v/>
      </c>
      <c r="D128" s="439" t="str">
        <f>IF(B128=0,"","N1")</f>
        <v/>
      </c>
      <c r="E128" s="439" t="str">
        <f>IF(B128=0,"",'3-MO04-EN01-échantillonnage'!R$71)</f>
        <v/>
      </c>
      <c r="F128" s="439" t="s">
        <v>17636</v>
      </c>
      <c r="G128" s="439" t="s">
        <v>17636</v>
      </c>
      <c r="H128" s="439"/>
      <c r="I128" s="439" t="s">
        <v>17636</v>
      </c>
      <c r="J128" s="440"/>
      <c r="K128" s="416"/>
    </row>
    <row r="129" spans="1:11" s="434" customFormat="1" ht="12.75" customHeight="1">
      <c r="A129" s="442"/>
      <c r="B129" s="443">
        <f>INDEX(plan,43,11)</f>
        <v>0</v>
      </c>
      <c r="C129" s="444" t="str">
        <f t="shared" ref="C129:C131" si="67">IF(B129=0,"","S10")</f>
        <v/>
      </c>
      <c r="D129" s="444" t="str">
        <f t="shared" ref="D129:D131" si="68">IF(B129=0,"","N1")</f>
        <v/>
      </c>
      <c r="E129" s="444" t="str">
        <f>IF(B129=0,"",'3-MO04-EN01-échantillonnage'!S$71)</f>
        <v/>
      </c>
      <c r="F129" s="444" t="s">
        <v>17636</v>
      </c>
      <c r="G129" s="444" t="s">
        <v>17636</v>
      </c>
      <c r="H129" s="444"/>
      <c r="I129" s="444" t="s">
        <v>17636</v>
      </c>
      <c r="J129" s="445"/>
      <c r="K129" s="416"/>
    </row>
    <row r="130" spans="1:11" s="434" customFormat="1" ht="12.75" customHeight="1">
      <c r="A130" s="442"/>
      <c r="B130" s="443">
        <f>INDEX(plan,43,12)</f>
        <v>0</v>
      </c>
      <c r="C130" s="444" t="str">
        <f t="shared" si="67"/>
        <v/>
      </c>
      <c r="D130" s="444" t="str">
        <f t="shared" si="68"/>
        <v/>
      </c>
      <c r="E130" s="444" t="str">
        <f>IF(B130=0,"",'3-MO04-EN01-échantillonnage'!T$71)</f>
        <v/>
      </c>
      <c r="F130" s="444"/>
      <c r="G130" s="444"/>
      <c r="H130" s="444"/>
      <c r="I130" s="444"/>
      <c r="J130" s="445"/>
      <c r="K130" s="416"/>
    </row>
    <row r="131" spans="1:11" s="434" customFormat="1" ht="12.75" customHeight="1">
      <c r="A131" s="451"/>
      <c r="B131" s="447">
        <f>INDEX(plan,44,12)</f>
        <v>0</v>
      </c>
      <c r="C131" s="448" t="str">
        <f t="shared" si="67"/>
        <v/>
      </c>
      <c r="D131" s="448" t="str">
        <f t="shared" si="68"/>
        <v/>
      </c>
      <c r="E131" s="448" t="str">
        <f>IF(B131=0,"",'3-MO04-EN01-échantillonnage'!T$72)</f>
        <v/>
      </c>
      <c r="F131" s="448" t="s">
        <v>17636</v>
      </c>
      <c r="G131" s="448" t="s">
        <v>17636</v>
      </c>
      <c r="H131" s="448"/>
      <c r="I131" s="448" t="s">
        <v>17636</v>
      </c>
      <c r="J131" s="449"/>
      <c r="K131" s="416"/>
    </row>
    <row r="132" spans="1:11" s="434" customFormat="1" ht="12.75" customHeight="1">
      <c r="A132" s="437"/>
      <c r="B132" s="438">
        <f>INDEX(plan,49,1)</f>
        <v>0</v>
      </c>
      <c r="C132" s="439" t="str">
        <f t="shared" ref="C132:C144" si="69">IF(B132=0,"","S11")</f>
        <v/>
      </c>
      <c r="D132" s="439" t="str">
        <f>IF(B132=0,"","N6")</f>
        <v/>
      </c>
      <c r="E132" s="439" t="str">
        <f>IF(B132=0,"",'3-MO04-EN01-échantillonnage'!I$77)</f>
        <v/>
      </c>
      <c r="F132" s="439" t="str">
        <f>IF(B132=0,"",'3-MO04-EN01-échantillonnage'!I$77)</f>
        <v/>
      </c>
      <c r="G132" s="439" t="s">
        <v>17636</v>
      </c>
      <c r="H132" s="439"/>
      <c r="I132" s="439" t="s">
        <v>17636</v>
      </c>
      <c r="J132" s="440"/>
      <c r="K132" s="416"/>
    </row>
    <row r="133" spans="1:11" s="434" customFormat="1" ht="12.75" customHeight="1">
      <c r="A133" s="442"/>
      <c r="B133" s="443">
        <f>INDEX(plan,49,2)</f>
        <v>0</v>
      </c>
      <c r="C133" s="444" t="str">
        <f t="shared" ref="C133:C135" si="70">IF(B133=0,"","S11")</f>
        <v/>
      </c>
      <c r="D133" s="444" t="str">
        <f t="shared" ref="D133:D135" si="71">IF(B133=0,"","N6")</f>
        <v/>
      </c>
      <c r="E133" s="444" t="str">
        <f>IF(B133=0,"",'3-MO04-EN01-échantillonnage'!J$77)</f>
        <v/>
      </c>
      <c r="F133" s="444" t="str">
        <f>IF(B133=0,"",'3-MO04-EN01-échantillonnage'!J$77)</f>
        <v/>
      </c>
      <c r="G133" s="444" t="s">
        <v>17636</v>
      </c>
      <c r="H133" s="444"/>
      <c r="I133" s="444" t="s">
        <v>17636</v>
      </c>
      <c r="J133" s="445"/>
      <c r="K133" s="416"/>
    </row>
    <row r="134" spans="1:11" s="434" customFormat="1" ht="12.75" customHeight="1">
      <c r="A134" s="442"/>
      <c r="B134" s="443">
        <f>INDEX(plan,49,3)</f>
        <v>0</v>
      </c>
      <c r="C134" s="444" t="str">
        <f t="shared" si="70"/>
        <v/>
      </c>
      <c r="D134" s="444" t="str">
        <f t="shared" si="71"/>
        <v/>
      </c>
      <c r="E134" s="444" t="str">
        <f>IF(B134=0,"",'3-MO04-EN01-échantillonnage'!K$77)</f>
        <v/>
      </c>
      <c r="F134" s="444"/>
      <c r="G134" s="444"/>
      <c r="H134" s="444"/>
      <c r="I134" s="444"/>
      <c r="J134" s="445"/>
      <c r="K134" s="416"/>
    </row>
    <row r="135" spans="1:11" s="434" customFormat="1" ht="12.75" customHeight="1">
      <c r="A135" s="442"/>
      <c r="B135" s="447">
        <f>INDEX(plan,50,3)</f>
        <v>0</v>
      </c>
      <c r="C135" s="448" t="str">
        <f t="shared" si="70"/>
        <v/>
      </c>
      <c r="D135" s="448" t="str">
        <f t="shared" si="71"/>
        <v/>
      </c>
      <c r="E135" s="448" t="str">
        <f>IF(B135=0,"",'3-MO04-EN01-échantillonnage'!K$78)</f>
        <v/>
      </c>
      <c r="F135" s="448" t="str">
        <f>IF(B135=0,"",'3-MO04-EN01-échantillonnage'!K$77)</f>
        <v/>
      </c>
      <c r="G135" s="448" t="s">
        <v>17636</v>
      </c>
      <c r="H135" s="448"/>
      <c r="I135" s="448" t="s">
        <v>17636</v>
      </c>
      <c r="J135" s="449"/>
      <c r="K135" s="416"/>
    </row>
    <row r="136" spans="1:11" s="434" customFormat="1" ht="12.75" customHeight="1">
      <c r="A136" s="442"/>
      <c r="B136" s="438">
        <f>INDEX(plan,49,4)</f>
        <v>0</v>
      </c>
      <c r="C136" s="439" t="str">
        <f t="shared" si="69"/>
        <v/>
      </c>
      <c r="D136" s="439" t="str">
        <f>IF(B136=0,"","N5")</f>
        <v/>
      </c>
      <c r="E136" s="439" t="str">
        <f>IF(B136=0,"",'3-MO04-EN01-échantillonnage'!L$77)</f>
        <v/>
      </c>
      <c r="F136" s="439" t="str">
        <f>IF(B136=0,"",'3-MO04-EN01-échantillonnage'!L$77)</f>
        <v/>
      </c>
      <c r="G136" s="439" t="s">
        <v>17636</v>
      </c>
      <c r="H136" s="439"/>
      <c r="I136" s="439" t="s">
        <v>17636</v>
      </c>
      <c r="J136" s="440"/>
      <c r="K136" s="416"/>
    </row>
    <row r="137" spans="1:11" s="434" customFormat="1" ht="12.75" customHeight="1">
      <c r="A137" s="442"/>
      <c r="B137" s="443">
        <f>INDEX(plan,49,5)</f>
        <v>0</v>
      </c>
      <c r="C137" s="444" t="str">
        <f t="shared" ref="C137:C139" si="72">IF(B137=0,"","S11")</f>
        <v/>
      </c>
      <c r="D137" s="444" t="str">
        <f t="shared" ref="D137:D139" si="73">IF(B137=0,"","N5")</f>
        <v/>
      </c>
      <c r="E137" s="444" t="str">
        <f>IF(B137=0,"",'3-MO04-EN01-échantillonnage'!M$77)</f>
        <v/>
      </c>
      <c r="F137" s="444" t="str">
        <f>IF(B137=0,"",'3-MO04-EN01-échantillonnage'!M$77)</f>
        <v/>
      </c>
      <c r="G137" s="444" t="s">
        <v>17636</v>
      </c>
      <c r="H137" s="444"/>
      <c r="I137" s="444" t="s">
        <v>17636</v>
      </c>
      <c r="J137" s="445"/>
      <c r="K137" s="416"/>
    </row>
    <row r="138" spans="1:11" s="434" customFormat="1" ht="12.75" customHeight="1">
      <c r="A138" s="442"/>
      <c r="B138" s="443">
        <f>INDEX(plan,49,6)</f>
        <v>0</v>
      </c>
      <c r="C138" s="444" t="str">
        <f t="shared" si="72"/>
        <v/>
      </c>
      <c r="D138" s="444" t="str">
        <f t="shared" si="73"/>
        <v/>
      </c>
      <c r="E138" s="444" t="str">
        <f>IF(B138=0,"",'3-MO04-EN01-échantillonnage'!N$77)</f>
        <v/>
      </c>
      <c r="F138" s="444"/>
      <c r="G138" s="444"/>
      <c r="H138" s="444"/>
      <c r="I138" s="444"/>
      <c r="J138" s="445"/>
      <c r="K138" s="416"/>
    </row>
    <row r="139" spans="1:11" s="434" customFormat="1" ht="12.75" customHeight="1">
      <c r="A139" s="442"/>
      <c r="B139" s="447">
        <f>INDEX(plan,50,6)</f>
        <v>0</v>
      </c>
      <c r="C139" s="448" t="str">
        <f t="shared" si="72"/>
        <v/>
      </c>
      <c r="D139" s="448" t="str">
        <f t="shared" si="73"/>
        <v/>
      </c>
      <c r="E139" s="448" t="str">
        <f>IF(B139=0,"",'3-MO04-EN01-échantillonnage'!N$78)</f>
        <v/>
      </c>
      <c r="F139" s="448" t="str">
        <f>IF(B139=0,"",'3-MO04-EN01-échantillonnage'!N$77)</f>
        <v/>
      </c>
      <c r="G139" s="448" t="s">
        <v>17636</v>
      </c>
      <c r="H139" s="448"/>
      <c r="I139" s="448" t="s">
        <v>17636</v>
      </c>
      <c r="J139" s="449"/>
      <c r="K139" s="416"/>
    </row>
    <row r="140" spans="1:11" s="434" customFormat="1" ht="12.75" customHeight="1">
      <c r="A140" s="454"/>
      <c r="B140" s="438">
        <f>INDEX(plan,49,7)</f>
        <v>0</v>
      </c>
      <c r="C140" s="439" t="str">
        <f t="shared" si="69"/>
        <v/>
      </c>
      <c r="D140" s="439" t="str">
        <f>IF(B140=0,"","N3")</f>
        <v/>
      </c>
      <c r="E140" s="439" t="str">
        <f>IF(B140=0,"",'3-MO04-EN01-échantillonnage'!O$77)</f>
        <v/>
      </c>
      <c r="F140" s="439" t="str">
        <f>IF(B140=0,"",'3-MO04-EN01-échantillonnage'!O$77)</f>
        <v/>
      </c>
      <c r="G140" s="439" t="s">
        <v>17636</v>
      </c>
      <c r="H140" s="439"/>
      <c r="I140" s="439" t="s">
        <v>17636</v>
      </c>
      <c r="J140" s="440"/>
      <c r="K140" s="416"/>
    </row>
    <row r="141" spans="1:11" s="434" customFormat="1" ht="12.75" customHeight="1">
      <c r="A141" s="454" t="s">
        <v>18012</v>
      </c>
      <c r="B141" s="443">
        <f>INDEX(plan,49,8)</f>
        <v>0</v>
      </c>
      <c r="C141" s="444" t="str">
        <f t="shared" ref="C141:C143" si="74">IF(B141=0,"","S11")</f>
        <v/>
      </c>
      <c r="D141" s="444" t="str">
        <f t="shared" ref="D141:D143" si="75">IF(B141=0,"","N3")</f>
        <v/>
      </c>
      <c r="E141" s="444" t="str">
        <f>IF(B141=0,"",'3-MO04-EN01-échantillonnage'!P$77)</f>
        <v/>
      </c>
      <c r="F141" s="444" t="str">
        <f>IF(B141=0,"",'3-MO04-EN01-échantillonnage'!P$77)</f>
        <v/>
      </c>
      <c r="G141" s="444" t="s">
        <v>17636</v>
      </c>
      <c r="H141" s="444"/>
      <c r="I141" s="444" t="s">
        <v>17636</v>
      </c>
      <c r="J141" s="445"/>
      <c r="K141" s="416"/>
    </row>
    <row r="142" spans="1:11" s="434" customFormat="1" ht="12.75" customHeight="1">
      <c r="A142" s="454"/>
      <c r="B142" s="443">
        <f>INDEX(plan,49,9)</f>
        <v>0</v>
      </c>
      <c r="C142" s="444" t="str">
        <f t="shared" si="74"/>
        <v/>
      </c>
      <c r="D142" s="444" t="str">
        <f t="shared" si="75"/>
        <v/>
      </c>
      <c r="E142" s="444" t="str">
        <f>IF(B142=0,"",'3-MO04-EN01-échantillonnage'!Q$77)</f>
        <v/>
      </c>
      <c r="F142" s="444"/>
      <c r="G142" s="444"/>
      <c r="H142" s="444"/>
      <c r="I142" s="444"/>
      <c r="J142" s="445"/>
      <c r="K142" s="416"/>
    </row>
    <row r="143" spans="1:11" s="434" customFormat="1" ht="12.75" customHeight="1">
      <c r="A143" s="454" t="s">
        <v>18013</v>
      </c>
      <c r="B143" s="447">
        <f>INDEX(plan,50,9)</f>
        <v>0</v>
      </c>
      <c r="C143" s="448" t="str">
        <f t="shared" si="74"/>
        <v/>
      </c>
      <c r="D143" s="448" t="str">
        <f t="shared" si="75"/>
        <v/>
      </c>
      <c r="E143" s="448" t="str">
        <f>IF(B143=0,"",'3-MO04-EN01-échantillonnage'!Q$78)</f>
        <v/>
      </c>
      <c r="F143" s="448" t="str">
        <f>IF(B143=0,"",'3-MO04-EN01-échantillonnage'!Q$77)</f>
        <v/>
      </c>
      <c r="G143" s="448" t="s">
        <v>17636</v>
      </c>
      <c r="H143" s="448"/>
      <c r="I143" s="448" t="s">
        <v>17636</v>
      </c>
      <c r="J143" s="449"/>
      <c r="K143" s="416"/>
    </row>
    <row r="144" spans="1:11" s="434" customFormat="1" ht="12.75" customHeight="1">
      <c r="A144" s="455"/>
      <c r="B144" s="438">
        <f>INDEX(plan,49,10)</f>
        <v>0</v>
      </c>
      <c r="C144" s="439" t="str">
        <f t="shared" si="69"/>
        <v/>
      </c>
      <c r="D144" s="439" t="str">
        <f>IF(B144=0,"","N1")</f>
        <v/>
      </c>
      <c r="E144" s="439" t="str">
        <f>IF(B144=0,"",'3-MO04-EN01-échantillonnage'!R$77)</f>
        <v/>
      </c>
      <c r="F144" s="439" t="str">
        <f>IF(B144=0,"",'3-MO04-EN01-échantillonnage'!R$77)</f>
        <v/>
      </c>
      <c r="G144" s="439" t="s">
        <v>17636</v>
      </c>
      <c r="H144" s="439"/>
      <c r="I144" s="439" t="s">
        <v>17636</v>
      </c>
      <c r="J144" s="440"/>
      <c r="K144" s="416"/>
    </row>
    <row r="145" spans="1:11" s="434" customFormat="1" ht="12.75" customHeight="1">
      <c r="A145" s="442"/>
      <c r="B145" s="443">
        <f>INDEX(plan,49,11)</f>
        <v>0</v>
      </c>
      <c r="C145" s="444" t="str">
        <f t="shared" ref="C145:C147" si="76">IF(B145=0,"","S11")</f>
        <v/>
      </c>
      <c r="D145" s="444" t="str">
        <f t="shared" ref="D145:D147" si="77">IF(B145=0,"","N1")</f>
        <v/>
      </c>
      <c r="E145" s="444" t="str">
        <f>IF(B145=0,"",'3-MO04-EN01-échantillonnage'!S$77)</f>
        <v/>
      </c>
      <c r="F145" s="444" t="str">
        <f>IF(B145=0,"",'3-MO04-EN01-échantillonnage'!S$77)</f>
        <v/>
      </c>
      <c r="G145" s="444" t="s">
        <v>17636</v>
      </c>
      <c r="H145" s="444"/>
      <c r="I145" s="444" t="s">
        <v>17636</v>
      </c>
      <c r="J145" s="445"/>
      <c r="K145" s="416"/>
    </row>
    <row r="146" spans="1:11" s="434" customFormat="1" ht="12.75" customHeight="1">
      <c r="A146" s="442"/>
      <c r="B146" s="443">
        <f>INDEX(plan,49,12)</f>
        <v>0</v>
      </c>
      <c r="C146" s="444" t="str">
        <f t="shared" si="76"/>
        <v/>
      </c>
      <c r="D146" s="444" t="str">
        <f t="shared" si="77"/>
        <v/>
      </c>
      <c r="E146" s="444" t="str">
        <f>IF(B146=0,"",'3-MO04-EN01-échantillonnage'!T$77)</f>
        <v/>
      </c>
      <c r="F146" s="444"/>
      <c r="G146" s="444"/>
      <c r="H146" s="444"/>
      <c r="I146" s="444"/>
      <c r="J146" s="445"/>
      <c r="K146" s="416"/>
    </row>
    <row r="147" spans="1:11" s="434" customFormat="1" ht="12.75" customHeight="1">
      <c r="A147" s="451"/>
      <c r="B147" s="447">
        <f>INDEX(plan,50,12)</f>
        <v>0</v>
      </c>
      <c r="C147" s="448" t="str">
        <f t="shared" si="76"/>
        <v/>
      </c>
      <c r="D147" s="448" t="str">
        <f t="shared" si="77"/>
        <v/>
      </c>
      <c r="E147" s="448" t="str">
        <f>IF(B147=0,"",'3-MO04-EN01-échantillonnage'!T$78)</f>
        <v/>
      </c>
      <c r="F147" s="448" t="str">
        <f>IF(B147=0,"",'3-MO04-EN01-échantillonnage'!T$77)</f>
        <v/>
      </c>
      <c r="G147" s="448" t="s">
        <v>17636</v>
      </c>
      <c r="H147" s="448"/>
      <c r="I147" s="448" t="s">
        <v>17636</v>
      </c>
      <c r="J147" s="449"/>
      <c r="K147" s="416"/>
    </row>
    <row r="148" spans="1:11" s="434" customFormat="1" ht="12.75" customHeight="1">
      <c r="A148" s="437"/>
      <c r="B148" s="438">
        <f>INDEX(plan,55,1)</f>
        <v>0</v>
      </c>
      <c r="C148" s="439" t="str">
        <f t="shared" ref="C148:C160" si="78">IF(B148=0,"","S25")</f>
        <v/>
      </c>
      <c r="D148" s="439" t="str">
        <f>IF(B148=0,"","N6")</f>
        <v/>
      </c>
      <c r="E148" s="439" t="str">
        <f>IF(B148=0,"",'3-MO04-EN01-échantillonnage'!I$83)</f>
        <v/>
      </c>
      <c r="F148" s="439" t="str">
        <f>IF(B148=0,"",'3-MO04-EN01-échantillonnage'!I$83)</f>
        <v/>
      </c>
      <c r="G148" s="439" t="s">
        <v>17636</v>
      </c>
      <c r="H148" s="439"/>
      <c r="I148" s="439" t="s">
        <v>17636</v>
      </c>
      <c r="J148" s="440"/>
      <c r="K148" s="416"/>
    </row>
    <row r="149" spans="1:11" s="434" customFormat="1" ht="12.75" customHeight="1">
      <c r="A149" s="442"/>
      <c r="B149" s="443">
        <f>INDEX(plan,55,2)</f>
        <v>0</v>
      </c>
      <c r="C149" s="444" t="str">
        <f t="shared" ref="C149:C151" si="79">IF(B149=0,"","S25")</f>
        <v/>
      </c>
      <c r="D149" s="444" t="str">
        <f t="shared" ref="D149:D151" si="80">IF(B149=0,"","N6")</f>
        <v/>
      </c>
      <c r="E149" s="444" t="str">
        <f>IF(B149=0,"",'3-MO04-EN01-échantillonnage'!J$83)</f>
        <v/>
      </c>
      <c r="F149" s="444" t="str">
        <f>IF(B149=0,"",'3-MO04-EN01-échantillonnage'!J$83)</f>
        <v/>
      </c>
      <c r="G149" s="444" t="s">
        <v>17636</v>
      </c>
      <c r="H149" s="444"/>
      <c r="I149" s="444" t="s">
        <v>17636</v>
      </c>
      <c r="J149" s="445"/>
      <c r="K149" s="416"/>
    </row>
    <row r="150" spans="1:11" s="434" customFormat="1" ht="12.75" customHeight="1">
      <c r="A150" s="442"/>
      <c r="B150" s="443">
        <f>INDEX(plan,55,3)</f>
        <v>0</v>
      </c>
      <c r="C150" s="444" t="str">
        <f t="shared" si="79"/>
        <v/>
      </c>
      <c r="D150" s="444" t="str">
        <f t="shared" si="80"/>
        <v/>
      </c>
      <c r="E150" s="444" t="str">
        <f>IF(B150=0,"",'3-MO04-EN01-échantillonnage'!K$83)</f>
        <v/>
      </c>
      <c r="F150" s="444"/>
      <c r="G150" s="444"/>
      <c r="H150" s="444"/>
      <c r="I150" s="444"/>
      <c r="J150" s="445"/>
      <c r="K150" s="416"/>
    </row>
    <row r="151" spans="1:11" s="434" customFormat="1" ht="12.75" customHeight="1">
      <c r="A151" s="442"/>
      <c r="B151" s="447">
        <f>INDEX(plan,56,3)</f>
        <v>0</v>
      </c>
      <c r="C151" s="448" t="str">
        <f t="shared" si="79"/>
        <v/>
      </c>
      <c r="D151" s="448" t="str">
        <f t="shared" si="80"/>
        <v/>
      </c>
      <c r="E151" s="448" t="str">
        <f>IF(B151=0,"",'3-MO04-EN01-échantillonnage'!K$84)</f>
        <v/>
      </c>
      <c r="F151" s="448" t="str">
        <f>IF(B151=0,"",'3-MO04-EN01-échantillonnage'!K$83)</f>
        <v/>
      </c>
      <c r="G151" s="448" t="s">
        <v>17636</v>
      </c>
      <c r="H151" s="448"/>
      <c r="I151" s="448" t="s">
        <v>17636</v>
      </c>
      <c r="J151" s="449"/>
      <c r="K151" s="416"/>
    </row>
    <row r="152" spans="1:11" s="434" customFormat="1" ht="12.75" customHeight="1">
      <c r="A152" s="442"/>
      <c r="B152" s="438">
        <f>INDEX(plan,55,4)</f>
        <v>0</v>
      </c>
      <c r="C152" s="439" t="str">
        <f t="shared" si="78"/>
        <v/>
      </c>
      <c r="D152" s="439" t="str">
        <f>IF(B152=0,"","N5")</f>
        <v/>
      </c>
      <c r="E152" s="439" t="str">
        <f>IF(B152=0,"",'3-MO04-EN01-échantillonnage'!L$83)</f>
        <v/>
      </c>
      <c r="F152" s="439" t="str">
        <f>IF(B152=0,"",'3-MO04-EN01-échantillonnage'!L$83)</f>
        <v/>
      </c>
      <c r="G152" s="439" t="s">
        <v>17636</v>
      </c>
      <c r="H152" s="439"/>
      <c r="I152" s="439" t="s">
        <v>17636</v>
      </c>
      <c r="J152" s="440"/>
      <c r="K152" s="416"/>
    </row>
    <row r="153" spans="1:11" s="434" customFormat="1" ht="12.75" customHeight="1">
      <c r="A153" s="442"/>
      <c r="B153" s="443">
        <f>INDEX(plan,55,5)</f>
        <v>0</v>
      </c>
      <c r="C153" s="444" t="str">
        <f t="shared" ref="C153:C155" si="81">IF(B153=0,"","S25")</f>
        <v/>
      </c>
      <c r="D153" s="444" t="str">
        <f t="shared" ref="D153:D155" si="82">IF(B153=0,"","N5")</f>
        <v/>
      </c>
      <c r="E153" s="444" t="str">
        <f>IF(B153=0,"",'3-MO04-EN01-échantillonnage'!M$83)</f>
        <v/>
      </c>
      <c r="F153" s="444" t="str">
        <f>IF(B153=0,"",'3-MO04-EN01-échantillonnage'!M$83)</f>
        <v/>
      </c>
      <c r="G153" s="444" t="s">
        <v>17636</v>
      </c>
      <c r="H153" s="444"/>
      <c r="I153" s="444" t="s">
        <v>17636</v>
      </c>
      <c r="J153" s="445"/>
      <c r="K153" s="416"/>
    </row>
    <row r="154" spans="1:11" s="434" customFormat="1" ht="12.75" customHeight="1">
      <c r="A154" s="442"/>
      <c r="B154" s="443">
        <f>INDEX(plan,55,6)</f>
        <v>0</v>
      </c>
      <c r="C154" s="444" t="str">
        <f t="shared" si="81"/>
        <v/>
      </c>
      <c r="D154" s="444" t="str">
        <f t="shared" si="82"/>
        <v/>
      </c>
      <c r="E154" s="444" t="str">
        <f>IF(B154=0,"",'3-MO04-EN01-échantillonnage'!N$83)</f>
        <v/>
      </c>
      <c r="F154" s="444"/>
      <c r="G154" s="444"/>
      <c r="H154" s="444"/>
      <c r="I154" s="444"/>
      <c r="J154" s="445"/>
      <c r="K154" s="416"/>
    </row>
    <row r="155" spans="1:11" s="434" customFormat="1" ht="12.75" customHeight="1">
      <c r="A155" s="454"/>
      <c r="B155" s="447">
        <f>INDEX(plan,56,6)</f>
        <v>0</v>
      </c>
      <c r="C155" s="448" t="str">
        <f t="shared" si="81"/>
        <v/>
      </c>
      <c r="D155" s="448" t="str">
        <f t="shared" si="82"/>
        <v/>
      </c>
      <c r="E155" s="448" t="str">
        <f>IF(B155=0,"",'3-MO04-EN01-échantillonnage'!N$84)</f>
        <v/>
      </c>
      <c r="F155" s="448" t="str">
        <f>IF(B155=0,"",'3-MO04-EN01-échantillonnage'!N$83)</f>
        <v/>
      </c>
      <c r="G155" s="448" t="s">
        <v>17636</v>
      </c>
      <c r="H155" s="448"/>
      <c r="I155" s="448" t="s">
        <v>17636</v>
      </c>
      <c r="J155" s="449"/>
      <c r="K155" s="416"/>
    </row>
    <row r="156" spans="1:11" s="434" customFormat="1" ht="12.75" customHeight="1">
      <c r="A156" s="454" t="s">
        <v>18014</v>
      </c>
      <c r="B156" s="438">
        <f>INDEX(plan,55,7)</f>
        <v>0</v>
      </c>
      <c r="C156" s="439" t="str">
        <f t="shared" si="78"/>
        <v/>
      </c>
      <c r="D156" s="439" t="str">
        <f>IF(B156=0,"","N3")</f>
        <v/>
      </c>
      <c r="E156" s="439" t="str">
        <f>IF(B156=0,"",'3-MO04-EN01-échantillonnage'!O$83)</f>
        <v/>
      </c>
      <c r="F156" s="439" t="str">
        <f>IF(B156=0,"",'3-MO04-EN01-échantillonnage'!O$83)</f>
        <v/>
      </c>
      <c r="G156" s="439" t="s">
        <v>17636</v>
      </c>
      <c r="H156" s="439"/>
      <c r="I156" s="439" t="s">
        <v>17636</v>
      </c>
      <c r="J156" s="440"/>
      <c r="K156" s="416"/>
    </row>
    <row r="157" spans="1:11" s="434" customFormat="1" ht="12.75" customHeight="1">
      <c r="A157" s="455" t="s">
        <v>18015</v>
      </c>
      <c r="B157" s="443">
        <f>INDEX(plan,55,8)</f>
        <v>0</v>
      </c>
      <c r="C157" s="444" t="str">
        <f t="shared" ref="C157:C159" si="83">IF(B157=0,"","S25")</f>
        <v/>
      </c>
      <c r="D157" s="444" t="str">
        <f t="shared" ref="D157:D159" si="84">IF(B157=0,"","N3")</f>
        <v/>
      </c>
      <c r="E157" s="444" t="str">
        <f>IF(B157=0,"",'3-MO04-EN01-échantillonnage'!P$83)</f>
        <v/>
      </c>
      <c r="F157" s="444" t="str">
        <f>IF(B157=0,"",'3-MO04-EN01-échantillonnage'!P$83)</f>
        <v/>
      </c>
      <c r="G157" s="444" t="s">
        <v>17636</v>
      </c>
      <c r="H157" s="444"/>
      <c r="I157" s="444" t="s">
        <v>17636</v>
      </c>
      <c r="J157" s="445"/>
      <c r="K157" s="416"/>
    </row>
    <row r="158" spans="1:11" s="434" customFormat="1" ht="12.75" customHeight="1">
      <c r="A158" s="455"/>
      <c r="B158" s="443">
        <f>INDEX(plan,55,9)</f>
        <v>0</v>
      </c>
      <c r="C158" s="444" t="str">
        <f t="shared" si="83"/>
        <v/>
      </c>
      <c r="D158" s="444" t="str">
        <f t="shared" si="84"/>
        <v/>
      </c>
      <c r="E158" s="444" t="str">
        <f>IF(B158=0,"",'3-MO04-EN01-échantillonnage'!Q$83)</f>
        <v/>
      </c>
      <c r="F158" s="444"/>
      <c r="G158" s="444"/>
      <c r="H158" s="444"/>
      <c r="I158" s="444"/>
      <c r="J158" s="445"/>
      <c r="K158" s="416"/>
    </row>
    <row r="159" spans="1:11" s="434" customFormat="1" ht="12.75" customHeight="1">
      <c r="A159" s="455"/>
      <c r="B159" s="447">
        <f>INDEX(plan,56,9)</f>
        <v>0</v>
      </c>
      <c r="C159" s="448" t="str">
        <f t="shared" si="83"/>
        <v/>
      </c>
      <c r="D159" s="448" t="str">
        <f t="shared" si="84"/>
        <v/>
      </c>
      <c r="E159" s="448" t="str">
        <f>IF(B159=0,"",'3-MO04-EN01-échantillonnage'!Q$84)</f>
        <v/>
      </c>
      <c r="F159" s="448" t="str">
        <f>IF(B159=0,"",'3-MO04-EN01-échantillonnage'!Q$83)</f>
        <v/>
      </c>
      <c r="G159" s="448" t="s">
        <v>17636</v>
      </c>
      <c r="H159" s="448"/>
      <c r="I159" s="448" t="s">
        <v>17636</v>
      </c>
      <c r="J159" s="449"/>
      <c r="K159" s="416"/>
    </row>
    <row r="160" spans="1:11" s="434" customFormat="1" ht="12.75" customHeight="1">
      <c r="A160" s="442"/>
      <c r="B160" s="438">
        <f>INDEX(plan,55,10)</f>
        <v>0</v>
      </c>
      <c r="C160" s="439" t="str">
        <f t="shared" si="78"/>
        <v/>
      </c>
      <c r="D160" s="439" t="str">
        <f>IF(B160=0,"","N1")</f>
        <v/>
      </c>
      <c r="E160" s="439" t="str">
        <f>IF(B160=0,"",'3-MO04-EN01-échantillonnage'!R$83)</f>
        <v/>
      </c>
      <c r="F160" s="439" t="s">
        <v>17636</v>
      </c>
      <c r="G160" s="439" t="s">
        <v>17636</v>
      </c>
      <c r="H160" s="439"/>
      <c r="I160" s="439" t="s">
        <v>17636</v>
      </c>
      <c r="J160" s="440"/>
      <c r="K160" s="416"/>
    </row>
    <row r="161" spans="1:11" s="434" customFormat="1" ht="12.75" customHeight="1">
      <c r="A161" s="442"/>
      <c r="B161" s="443">
        <f>INDEX(plan,55,11)</f>
        <v>0</v>
      </c>
      <c r="C161" s="444" t="str">
        <f t="shared" ref="C161:C163" si="85">IF(B161=0,"","S25")</f>
        <v/>
      </c>
      <c r="D161" s="444" t="str">
        <f t="shared" ref="D161:D163" si="86">IF(B161=0,"","N1")</f>
        <v/>
      </c>
      <c r="E161" s="444" t="str">
        <f>IF(B161=0,"",'3-MO04-EN01-échantillonnage'!S$83)</f>
        <v/>
      </c>
      <c r="F161" s="444" t="str">
        <f>IF(B161=0,"",'3-MO04-EN01-échantillonnage'!S$83)</f>
        <v/>
      </c>
      <c r="G161" s="444" t="s">
        <v>17636</v>
      </c>
      <c r="H161" s="444"/>
      <c r="I161" s="444" t="s">
        <v>17636</v>
      </c>
      <c r="J161" s="445"/>
      <c r="K161" s="416"/>
    </row>
    <row r="162" spans="1:11" s="434" customFormat="1" ht="12.75" customHeight="1">
      <c r="A162" s="442"/>
      <c r="B162" s="443">
        <f>INDEX(plan,55,12)</f>
        <v>0</v>
      </c>
      <c r="C162" s="444" t="str">
        <f t="shared" si="85"/>
        <v/>
      </c>
      <c r="D162" s="444" t="str">
        <f t="shared" si="86"/>
        <v/>
      </c>
      <c r="E162" s="444" t="str">
        <f>IF(B162=0,"",'3-MO04-EN01-échantillonnage'!T$83)</f>
        <v/>
      </c>
      <c r="F162" s="444"/>
      <c r="G162" s="444"/>
      <c r="H162" s="444"/>
      <c r="I162" s="444"/>
      <c r="J162" s="445"/>
      <c r="K162" s="416"/>
    </row>
    <row r="163" spans="1:11" s="434" customFormat="1" ht="12.75" customHeight="1">
      <c r="A163" s="451"/>
      <c r="B163" s="447">
        <f>INDEX(plan,56,12)</f>
        <v>0</v>
      </c>
      <c r="C163" s="448" t="str">
        <f t="shared" si="85"/>
        <v/>
      </c>
      <c r="D163" s="448" t="str">
        <f t="shared" si="86"/>
        <v/>
      </c>
      <c r="E163" s="448" t="str">
        <f>IF(B163=0,"",'3-MO04-EN01-échantillonnage'!T$84)</f>
        <v/>
      </c>
      <c r="F163" s="448" t="str">
        <f>IF(B163=0,"",'3-MO04-EN01-échantillonnage'!T$83)</f>
        <v/>
      </c>
      <c r="G163" s="448" t="s">
        <v>17636</v>
      </c>
      <c r="H163" s="448"/>
      <c r="I163" s="448" t="s">
        <v>17636</v>
      </c>
      <c r="J163" s="449"/>
      <c r="K163" s="416"/>
    </row>
    <row r="164" spans="1:11" s="434" customFormat="1" ht="12.75" customHeight="1">
      <c r="A164" s="437"/>
      <c r="B164" s="438">
        <f>INDEX(plan,61,1)</f>
        <v>0</v>
      </c>
      <c r="C164" s="439" t="str">
        <f t="shared" ref="C164:C176" si="87">IF(B164=0,"","S18")</f>
        <v/>
      </c>
      <c r="D164" s="439" t="str">
        <f>IF(B164=0,"","N6")</f>
        <v/>
      </c>
      <c r="E164" s="439" t="str">
        <f>IF(B164=0,"",'3-MO04-EN01-échantillonnage'!I$89)</f>
        <v/>
      </c>
      <c r="F164" s="439" t="str">
        <f>IF(B164=0,"",'3-MO04-EN01-échantillonnage'!I$89)</f>
        <v/>
      </c>
      <c r="G164" s="439" t="s">
        <v>17636</v>
      </c>
      <c r="H164" s="439"/>
      <c r="I164" s="439" t="s">
        <v>17636</v>
      </c>
      <c r="J164" s="440"/>
      <c r="K164" s="416"/>
    </row>
    <row r="165" spans="1:11" s="434" customFormat="1" ht="12.75" customHeight="1">
      <c r="A165" s="442"/>
      <c r="B165" s="443">
        <f>INDEX(plan,61,2)</f>
        <v>0</v>
      </c>
      <c r="C165" s="444" t="str">
        <f t="shared" ref="C165:C167" si="88">IF(B165=0,"","S18")</f>
        <v/>
      </c>
      <c r="D165" s="444" t="str">
        <f t="shared" ref="D165:D167" si="89">IF(B165=0,"","N6")</f>
        <v/>
      </c>
      <c r="E165" s="444" t="str">
        <f>IF(B165=0,"",'3-MO04-EN01-échantillonnage'!J$89)</f>
        <v/>
      </c>
      <c r="F165" s="444" t="str">
        <f>IF(B165=0,"",'3-MO04-EN01-échantillonnage'!J$89)</f>
        <v/>
      </c>
      <c r="G165" s="444" t="s">
        <v>17636</v>
      </c>
      <c r="H165" s="444"/>
      <c r="I165" s="444" t="s">
        <v>17636</v>
      </c>
      <c r="J165" s="445"/>
      <c r="K165" s="416"/>
    </row>
    <row r="166" spans="1:11" s="434" customFormat="1" ht="12.75" customHeight="1">
      <c r="A166" s="442"/>
      <c r="B166" s="443">
        <f>INDEX(plan,61,3)</f>
        <v>0</v>
      </c>
      <c r="C166" s="444" t="str">
        <f t="shared" si="88"/>
        <v/>
      </c>
      <c r="D166" s="444" t="str">
        <f t="shared" si="89"/>
        <v/>
      </c>
      <c r="E166" s="444" t="str">
        <f>IF(B166=0,"",'3-MO04-EN01-échantillonnage'!K$89)</f>
        <v/>
      </c>
      <c r="F166" s="444"/>
      <c r="G166" s="444"/>
      <c r="H166" s="444"/>
      <c r="I166" s="444"/>
      <c r="J166" s="445"/>
      <c r="K166" s="416"/>
    </row>
    <row r="167" spans="1:11" s="434" customFormat="1" ht="12.75" customHeight="1">
      <c r="A167" s="442"/>
      <c r="B167" s="447">
        <f>INDEX(plan,62,3)</f>
        <v>0</v>
      </c>
      <c r="C167" s="448" t="str">
        <f t="shared" si="88"/>
        <v/>
      </c>
      <c r="D167" s="448" t="str">
        <f t="shared" si="89"/>
        <v/>
      </c>
      <c r="E167" s="448" t="str">
        <f>IF(B167=0,"",'3-MO04-EN01-échantillonnage'!K$90)</f>
        <v/>
      </c>
      <c r="F167" s="448" t="str">
        <f>IF(B167=0,"",'3-MO04-EN01-échantillonnage'!K$89)</f>
        <v/>
      </c>
      <c r="G167" s="448" t="s">
        <v>17636</v>
      </c>
      <c r="H167" s="448"/>
      <c r="I167" s="448" t="s">
        <v>17636</v>
      </c>
      <c r="J167" s="449"/>
      <c r="K167" s="416"/>
    </row>
    <row r="168" spans="1:11" s="434" customFormat="1" ht="12.75" customHeight="1">
      <c r="A168" s="455"/>
      <c r="B168" s="438">
        <f>INDEX(plan,61,4)</f>
        <v>0</v>
      </c>
      <c r="C168" s="439" t="str">
        <f t="shared" si="87"/>
        <v/>
      </c>
      <c r="D168" s="439" t="str">
        <f>IF(B168=0,"","N5")</f>
        <v/>
      </c>
      <c r="E168" s="439" t="str">
        <f>IF(B168=0,"",'3-MO04-EN01-échantillonnage'!L$89)</f>
        <v/>
      </c>
      <c r="F168" s="439" t="str">
        <f>IF(B168=0,"",'3-MO04-EN01-échantillonnage'!L$89)</f>
        <v/>
      </c>
      <c r="G168" s="439" t="s">
        <v>17636</v>
      </c>
      <c r="H168" s="439"/>
      <c r="I168" s="439" t="s">
        <v>17636</v>
      </c>
      <c r="J168" s="440"/>
      <c r="K168" s="416"/>
    </row>
    <row r="169" spans="1:11" s="434" customFormat="1" ht="12.75" customHeight="1">
      <c r="A169" s="454" t="s">
        <v>6159</v>
      </c>
      <c r="B169" s="443">
        <f>INDEX(plan,61,5)</f>
        <v>0</v>
      </c>
      <c r="C169" s="444" t="str">
        <f t="shared" ref="C169:C171" si="90">IF(B169=0,"","S18")</f>
        <v/>
      </c>
      <c r="D169" s="444" t="str">
        <f t="shared" ref="D169:D171" si="91">IF(B169=0,"","N5")</f>
        <v/>
      </c>
      <c r="E169" s="444" t="str">
        <f>IF(B169=0,"",'3-MO04-EN01-échantillonnage'!M$89)</f>
        <v/>
      </c>
      <c r="F169" s="444" t="str">
        <f>IF(B169=0,"",'3-MO04-EN01-échantillonnage'!M$89)</f>
        <v/>
      </c>
      <c r="G169" s="444" t="s">
        <v>17636</v>
      </c>
      <c r="H169" s="444"/>
      <c r="I169" s="444" t="s">
        <v>17636</v>
      </c>
      <c r="J169" s="445"/>
      <c r="K169" s="416"/>
    </row>
    <row r="170" spans="1:11" s="434" customFormat="1" ht="12.75" customHeight="1">
      <c r="A170" s="454"/>
      <c r="B170" s="443">
        <f>INDEX(plan,61,6)</f>
        <v>0</v>
      </c>
      <c r="C170" s="444" t="str">
        <f t="shared" si="90"/>
        <v/>
      </c>
      <c r="D170" s="444" t="str">
        <f t="shared" si="91"/>
        <v/>
      </c>
      <c r="E170" s="444" t="str">
        <f>IF(B170=0,"",'3-MO04-EN01-échantillonnage'!N$89)</f>
        <v/>
      </c>
      <c r="F170" s="444"/>
      <c r="G170" s="444"/>
      <c r="H170" s="444"/>
      <c r="I170" s="444"/>
      <c r="J170" s="445"/>
      <c r="K170" s="416"/>
    </row>
    <row r="171" spans="1:11" s="434" customFormat="1" ht="12.75" customHeight="1">
      <c r="A171" s="454"/>
      <c r="B171" s="447">
        <f>INDEX(plan,62,6)</f>
        <v>0</v>
      </c>
      <c r="C171" s="448" t="str">
        <f t="shared" si="90"/>
        <v/>
      </c>
      <c r="D171" s="448" t="str">
        <f t="shared" si="91"/>
        <v/>
      </c>
      <c r="E171" s="448" t="str">
        <f>IF(B171=0,"",'3-MO04-EN01-échantillonnage'!N$90)</f>
        <v/>
      </c>
      <c r="F171" s="448" t="str">
        <f>IF(B171=0,"",'3-MO04-EN01-échantillonnage'!N$89)</f>
        <v/>
      </c>
      <c r="G171" s="448" t="s">
        <v>17636</v>
      </c>
      <c r="H171" s="448"/>
      <c r="I171" s="448" t="s">
        <v>17636</v>
      </c>
      <c r="J171" s="449"/>
      <c r="K171" s="416"/>
    </row>
    <row r="172" spans="1:11" s="434" customFormat="1" ht="12.75" customHeight="1">
      <c r="A172" s="455"/>
      <c r="B172" s="438">
        <f>INDEX(plan,61,7)</f>
        <v>0</v>
      </c>
      <c r="C172" s="439" t="str">
        <f t="shared" si="87"/>
        <v/>
      </c>
      <c r="D172" s="439" t="str">
        <f>IF(B172=0,"","N3")</f>
        <v/>
      </c>
      <c r="E172" s="439" t="str">
        <f>IF(B172=0,"",'3-MO04-EN01-échantillonnage'!O$89)</f>
        <v/>
      </c>
      <c r="F172" s="439" t="str">
        <f>IF(B172=0,"",'3-MO04-EN01-échantillonnage'!O$89)</f>
        <v/>
      </c>
      <c r="G172" s="439" t="s">
        <v>17636</v>
      </c>
      <c r="H172" s="439"/>
      <c r="I172" s="439" t="s">
        <v>17636</v>
      </c>
      <c r="J172" s="440"/>
      <c r="K172" s="416"/>
    </row>
    <row r="173" spans="1:11" s="434" customFormat="1" ht="12.75" customHeight="1">
      <c r="A173" s="455"/>
      <c r="B173" s="443">
        <f>INDEX(plan,61,8)</f>
        <v>0</v>
      </c>
      <c r="C173" s="444" t="str">
        <f t="shared" ref="C173:C175" si="92">IF(B173=0,"","S18")</f>
        <v/>
      </c>
      <c r="D173" s="444" t="str">
        <f t="shared" ref="D173:D175" si="93">IF(B173=0,"","N3")</f>
        <v/>
      </c>
      <c r="E173" s="444" t="str">
        <f>IF(B173=0,"",'3-MO04-EN01-échantillonnage'!P$89)</f>
        <v/>
      </c>
      <c r="F173" s="444" t="str">
        <f>IF(B173=0,"",'3-MO04-EN01-échantillonnage'!P$89)</f>
        <v/>
      </c>
      <c r="G173" s="444" t="s">
        <v>17636</v>
      </c>
      <c r="H173" s="444"/>
      <c r="I173" s="444" t="s">
        <v>17636</v>
      </c>
      <c r="J173" s="445"/>
      <c r="K173" s="416"/>
    </row>
    <row r="174" spans="1:11" s="434" customFormat="1" ht="12.75" customHeight="1">
      <c r="A174" s="455"/>
      <c r="B174" s="443">
        <f>INDEX(plan,61,9)</f>
        <v>0</v>
      </c>
      <c r="C174" s="444" t="str">
        <f t="shared" si="92"/>
        <v/>
      </c>
      <c r="D174" s="444" t="str">
        <f t="shared" si="93"/>
        <v/>
      </c>
      <c r="E174" s="444" t="str">
        <f>IF(B174=0,"",'3-MO04-EN01-échantillonnage'!Q$89)</f>
        <v/>
      </c>
      <c r="F174" s="444"/>
      <c r="G174" s="444"/>
      <c r="H174" s="444"/>
      <c r="I174" s="444"/>
      <c r="J174" s="445"/>
      <c r="K174" s="416"/>
    </row>
    <row r="175" spans="1:11" s="434" customFormat="1" ht="12.75" customHeight="1">
      <c r="A175" s="455"/>
      <c r="B175" s="447">
        <f>INDEX(plan,62,9)</f>
        <v>0</v>
      </c>
      <c r="C175" s="448" t="str">
        <f t="shared" si="92"/>
        <v/>
      </c>
      <c r="D175" s="448" t="str">
        <f t="shared" si="93"/>
        <v/>
      </c>
      <c r="E175" s="448" t="str">
        <f>IF(B175=0,"",'3-MO04-EN01-échantillonnage'!Q$90)</f>
        <v/>
      </c>
      <c r="F175" s="448" t="str">
        <f>IF(B175=0,"",'3-MO04-EN01-échantillonnage'!Q$89)</f>
        <v/>
      </c>
      <c r="G175" s="448" t="s">
        <v>17636</v>
      </c>
      <c r="H175" s="448"/>
      <c r="I175" s="448" t="s">
        <v>17636</v>
      </c>
      <c r="J175" s="449"/>
      <c r="K175" s="416"/>
    </row>
    <row r="176" spans="1:11" s="434" customFormat="1" ht="12.75" customHeight="1">
      <c r="A176" s="442"/>
      <c r="B176" s="438">
        <f>INDEX(plan,61,10)</f>
        <v>0</v>
      </c>
      <c r="C176" s="439" t="str">
        <f t="shared" si="87"/>
        <v/>
      </c>
      <c r="D176" s="439" t="str">
        <f>IF(B176=0,"","N1")</f>
        <v/>
      </c>
      <c r="E176" s="439" t="str">
        <f>IF(B176=0,"",'3-MO04-EN01-échantillonnage'!R$89)</f>
        <v/>
      </c>
      <c r="F176" s="439" t="str">
        <f>IF(B176=0,"",'3-MO04-EN01-échantillonnage'!R$89)</f>
        <v/>
      </c>
      <c r="G176" s="439" t="s">
        <v>17636</v>
      </c>
      <c r="H176" s="439"/>
      <c r="I176" s="439" t="s">
        <v>17636</v>
      </c>
      <c r="J176" s="440"/>
      <c r="K176" s="416"/>
    </row>
    <row r="177" spans="1:11" s="434" customFormat="1" ht="12.75" customHeight="1">
      <c r="A177" s="442"/>
      <c r="B177" s="443">
        <f>INDEX(plan,61,11)</f>
        <v>0</v>
      </c>
      <c r="C177" s="444" t="str">
        <f t="shared" ref="C177:C179" si="94">IF(B177=0,"","S18")</f>
        <v/>
      </c>
      <c r="D177" s="444" t="str">
        <f t="shared" ref="D177:D179" si="95">IF(B177=0,"","N1")</f>
        <v/>
      </c>
      <c r="E177" s="444" t="str">
        <f>IF(B177=0,"",'3-MO04-EN01-échantillonnage'!S$89)</f>
        <v/>
      </c>
      <c r="F177" s="444" t="str">
        <f>IF(B177=0,"",'3-MO04-EN01-échantillonnage'!S$89)</f>
        <v/>
      </c>
      <c r="G177" s="444" t="s">
        <v>17636</v>
      </c>
      <c r="H177" s="444"/>
      <c r="I177" s="444" t="s">
        <v>17636</v>
      </c>
      <c r="J177" s="445"/>
      <c r="K177" s="416"/>
    </row>
    <row r="178" spans="1:11" s="434" customFormat="1" ht="12.75" customHeight="1">
      <c r="A178" s="442"/>
      <c r="B178" s="443">
        <f>INDEX(plan,61,12)</f>
        <v>0</v>
      </c>
      <c r="C178" s="444" t="str">
        <f t="shared" si="94"/>
        <v/>
      </c>
      <c r="D178" s="444" t="str">
        <f t="shared" si="95"/>
        <v/>
      </c>
      <c r="E178" s="444" t="str">
        <f>IF(B178=0,"",'3-MO04-EN01-échantillonnage'!T$89)</f>
        <v/>
      </c>
      <c r="F178" s="444"/>
      <c r="G178" s="444"/>
      <c r="H178" s="444"/>
      <c r="I178" s="444"/>
      <c r="J178" s="445"/>
      <c r="K178" s="416"/>
    </row>
    <row r="179" spans="1:11" s="434" customFormat="1" ht="12.75" customHeight="1">
      <c r="A179" s="451"/>
      <c r="B179" s="447">
        <f>INDEX(plan,62,12)</f>
        <v>0</v>
      </c>
      <c r="C179" s="448" t="str">
        <f t="shared" si="94"/>
        <v/>
      </c>
      <c r="D179" s="448" t="str">
        <f t="shared" si="95"/>
        <v/>
      </c>
      <c r="E179" s="448" t="str">
        <f>IF(B179=0,"",'3-MO04-EN01-échantillonnage'!T$90)</f>
        <v/>
      </c>
      <c r="F179" s="448" t="str">
        <f>IF(B179=0,"",'3-MO04-EN01-échantillonnage'!T$89)</f>
        <v/>
      </c>
      <c r="G179" s="448" t="s">
        <v>17636</v>
      </c>
      <c r="H179" s="448"/>
      <c r="I179" s="448" t="s">
        <v>17636</v>
      </c>
      <c r="J179" s="449"/>
      <c r="K179" s="416"/>
    </row>
    <row r="180" spans="1:11" s="434" customFormat="1" ht="12.75" customHeight="1">
      <c r="A180" s="437"/>
      <c r="B180" s="438">
        <f>INDEX(plan,67,1)</f>
        <v>0</v>
      </c>
      <c r="C180" s="439" t="str">
        <f t="shared" ref="C180:C195" si="96">IF(B180=0,"","S29")</f>
        <v/>
      </c>
      <c r="D180" s="439" t="str">
        <f>IF(B180=0,"","N6")</f>
        <v/>
      </c>
      <c r="E180" s="439" t="str">
        <f>IF(B180=0,"",'3-MO04-EN01-échantillonnage'!I$95)</f>
        <v/>
      </c>
      <c r="F180" s="439" t="str">
        <f>IF(B180=0,"",'3-MO04-EN01-échantillonnage'!I$96)</f>
        <v/>
      </c>
      <c r="G180" s="439" t="s">
        <v>17636</v>
      </c>
      <c r="H180" s="439"/>
      <c r="I180" s="439" t="s">
        <v>17636</v>
      </c>
      <c r="J180" s="440"/>
      <c r="K180" s="416"/>
    </row>
    <row r="181" spans="1:11" s="434" customFormat="1" ht="12.75" customHeight="1">
      <c r="A181" s="442"/>
      <c r="B181" s="443">
        <f>INDEX(plan,67,2)</f>
        <v>0</v>
      </c>
      <c r="C181" s="444" t="str">
        <f t="shared" ref="C181:C183" si="97">IF(B181=0,"","S29")</f>
        <v/>
      </c>
      <c r="D181" s="444" t="str">
        <f t="shared" ref="D181:D183" si="98">IF(B181=0,"","N6")</f>
        <v/>
      </c>
      <c r="E181" s="444" t="str">
        <f>IF(B181=0,"",'3-MO04-EN01-échantillonnage'!J$95)</f>
        <v/>
      </c>
      <c r="F181" s="444" t="str">
        <f>IF(B181=0,"",'3-MO04-EN01-échantillonnage'!J$96)</f>
        <v/>
      </c>
      <c r="G181" s="444" t="s">
        <v>17636</v>
      </c>
      <c r="H181" s="444"/>
      <c r="I181" s="444" t="s">
        <v>17636</v>
      </c>
      <c r="J181" s="445"/>
      <c r="K181" s="416"/>
    </row>
    <row r="182" spans="1:11" s="434" customFormat="1" ht="12.75" customHeight="1">
      <c r="A182" s="442"/>
      <c r="B182" s="443">
        <f>INDEX(plan,67,3)</f>
        <v>0</v>
      </c>
      <c r="C182" s="444" t="str">
        <f t="shared" si="97"/>
        <v/>
      </c>
      <c r="D182" s="444" t="str">
        <f t="shared" si="98"/>
        <v/>
      </c>
      <c r="E182" s="444" t="str">
        <f>IF(B182=0,"",'3-MO04-EN01-échantillonnage'!K$95)</f>
        <v/>
      </c>
      <c r="F182" s="444"/>
      <c r="G182" s="444"/>
      <c r="H182" s="444"/>
      <c r="I182" s="444"/>
      <c r="J182" s="445"/>
      <c r="K182" s="416"/>
    </row>
    <row r="183" spans="1:11" s="434" customFormat="1" ht="12.75" customHeight="1">
      <c r="A183" s="442"/>
      <c r="B183" s="447">
        <f>INDEX(plan,67,3)</f>
        <v>0</v>
      </c>
      <c r="C183" s="448" t="str">
        <f t="shared" si="97"/>
        <v/>
      </c>
      <c r="D183" s="448" t="str">
        <f t="shared" si="98"/>
        <v/>
      </c>
      <c r="E183" s="448" t="str">
        <f>IF(B183=0,"",'3-MO04-EN01-échantillonnage'!K$96)</f>
        <v/>
      </c>
      <c r="F183" s="448" t="str">
        <f>IF(B183=0,"",'3-MO04-EN01-échantillonnage'!K$96)</f>
        <v/>
      </c>
      <c r="G183" s="448" t="s">
        <v>17636</v>
      </c>
      <c r="H183" s="448"/>
      <c r="I183" s="448" t="s">
        <v>17636</v>
      </c>
      <c r="J183" s="449"/>
      <c r="K183" s="416"/>
    </row>
    <row r="184" spans="1:11" s="434" customFormat="1" ht="12.75" customHeight="1">
      <c r="A184" s="454" t="s">
        <v>18016</v>
      </c>
      <c r="B184" s="438">
        <f>INDEX(plan,67,4)</f>
        <v>0</v>
      </c>
      <c r="C184" s="439" t="str">
        <f t="shared" si="96"/>
        <v/>
      </c>
      <c r="D184" s="439" t="str">
        <f>IF(B184=0,"","N5")</f>
        <v/>
      </c>
      <c r="E184" s="456">
        <f>IF(A184=0,"",'3-MO04-EN01-échantillonnage'!L$95)</f>
        <v>0</v>
      </c>
      <c r="F184" s="439" t="str">
        <f>IF(B184=0,"",'3-MO04-EN01-échantillonnage'!L$96)</f>
        <v/>
      </c>
      <c r="G184" s="439" t="s">
        <v>17636</v>
      </c>
      <c r="H184" s="439"/>
      <c r="I184" s="439" t="s">
        <v>17636</v>
      </c>
      <c r="J184" s="440"/>
      <c r="K184" s="416"/>
    </row>
    <row r="185" spans="1:11" s="434" customFormat="1" ht="12.75" customHeight="1">
      <c r="A185" s="455" t="s">
        <v>18017</v>
      </c>
      <c r="B185" s="443">
        <f>INDEX(plan,67,5)</f>
        <v>7</v>
      </c>
      <c r="C185" s="444" t="str">
        <f t="shared" ref="C185:C187" si="99">IF(B185=0,"","S29")</f>
        <v>S29</v>
      </c>
      <c r="D185" s="444" t="str">
        <f t="shared" ref="D185:D187" si="100">IF(B185=0,"","N5")</f>
        <v>N5</v>
      </c>
      <c r="E185" s="457" t="str">
        <f>IF(A185=0,"",'3-MO04-EN01-échantillonnage'!M$95)</f>
        <v>PhB</v>
      </c>
      <c r="F185" s="444">
        <f>IF(B185=0,"",'3-MO04-EN01-échantillonnage'!M$96)</f>
        <v>0</v>
      </c>
      <c r="G185" s="444" t="s">
        <v>17636</v>
      </c>
      <c r="H185" s="444"/>
      <c r="I185" s="444" t="s">
        <v>17636</v>
      </c>
      <c r="J185" s="445"/>
      <c r="K185" s="416"/>
    </row>
    <row r="186" spans="1:11" s="434" customFormat="1" ht="12.75" customHeight="1">
      <c r="A186" s="455"/>
      <c r="B186" s="443">
        <f>INDEX(plan,67,6)</f>
        <v>0</v>
      </c>
      <c r="C186" s="444" t="str">
        <f t="shared" si="99"/>
        <v/>
      </c>
      <c r="D186" s="444" t="str">
        <f t="shared" si="100"/>
        <v/>
      </c>
      <c r="E186" s="457" t="str">
        <f>IF(A186=0,"",'3-MO04-EN01-échantillonnage'!N$95)</f>
        <v/>
      </c>
      <c r="F186" s="444"/>
      <c r="G186" s="444"/>
      <c r="H186" s="444"/>
      <c r="I186" s="444"/>
      <c r="J186" s="445"/>
      <c r="K186" s="416"/>
    </row>
    <row r="187" spans="1:11" s="434" customFormat="1" ht="12.75" customHeight="1">
      <c r="A187" s="455" t="s">
        <v>18018</v>
      </c>
      <c r="B187" s="447">
        <f>INDEX(plan,68,6)</f>
        <v>0</v>
      </c>
      <c r="C187" s="448" t="str">
        <f t="shared" si="99"/>
        <v/>
      </c>
      <c r="D187" s="448" t="str">
        <f t="shared" si="100"/>
        <v/>
      </c>
      <c r="E187" s="458">
        <f>IF(A187=0,"",'3-MO04-EN01-échantillonnage'!N$96)</f>
        <v>0</v>
      </c>
      <c r="F187" s="448" t="str">
        <f>IF(B187=0,"",'3-MO04-EN01-échantillonnage'!N$96)</f>
        <v/>
      </c>
      <c r="G187" s="448" t="s">
        <v>17636</v>
      </c>
      <c r="H187" s="448"/>
      <c r="I187" s="448" t="s">
        <v>17636</v>
      </c>
      <c r="J187" s="449"/>
      <c r="K187" s="416"/>
    </row>
    <row r="188" spans="1:11" s="434" customFormat="1" ht="12.75" customHeight="1">
      <c r="A188" s="442"/>
      <c r="B188" s="438">
        <f>INDEX(plan,67,7)</f>
        <v>0</v>
      </c>
      <c r="C188" s="439" t="str">
        <f t="shared" si="96"/>
        <v/>
      </c>
      <c r="D188" s="439" t="str">
        <f>IF(B188=0,"","N3")</f>
        <v/>
      </c>
      <c r="E188" s="439" t="str">
        <f>IF(B188=0,"",'3-MO04-EN01-échantillonnage'!O$95)</f>
        <v/>
      </c>
      <c r="F188" s="439" t="str">
        <f>IF(B188=0,"",'3-MO04-EN01-échantillonnage'!O$96)</f>
        <v/>
      </c>
      <c r="G188" s="439" t="s">
        <v>17636</v>
      </c>
      <c r="H188" s="439"/>
      <c r="I188" s="439" t="s">
        <v>17636</v>
      </c>
      <c r="J188" s="440"/>
      <c r="K188" s="416"/>
    </row>
    <row r="189" spans="1:11" s="434" customFormat="1" ht="12.75" customHeight="1">
      <c r="A189" s="442"/>
      <c r="B189" s="443">
        <f>INDEX(plan,67,8)</f>
        <v>10</v>
      </c>
      <c r="C189" s="444" t="str">
        <f t="shared" ref="C189:C191" si="101">IF(B189=0,"","S29")</f>
        <v>S29</v>
      </c>
      <c r="D189" s="444" t="str">
        <f t="shared" ref="D189:D191" si="102">IF(B189=0,"","N3")</f>
        <v>N3</v>
      </c>
      <c r="E189" s="444" t="str">
        <f>IF(B189=0,"",'3-MO04-EN01-échantillonnage'!P$95)</f>
        <v>PhC</v>
      </c>
      <c r="F189" s="444">
        <f>IF(B189=0,"",'3-MO04-EN01-échantillonnage'!P$96)</f>
        <v>0</v>
      </c>
      <c r="G189" s="444" t="s">
        <v>17636</v>
      </c>
      <c r="H189" s="444"/>
      <c r="I189" s="444" t="s">
        <v>17636</v>
      </c>
      <c r="J189" s="445"/>
      <c r="K189" s="416"/>
    </row>
    <row r="190" spans="1:11" s="434" customFormat="1" ht="12.75" customHeight="1">
      <c r="A190" s="442"/>
      <c r="B190" s="443">
        <f>INDEX(plan,67,9)</f>
        <v>0</v>
      </c>
      <c r="C190" s="444" t="str">
        <f t="shared" si="101"/>
        <v/>
      </c>
      <c r="D190" s="444" t="str">
        <f t="shared" si="102"/>
        <v/>
      </c>
      <c r="E190" s="444" t="str">
        <f>IF(B190=0,"",'3-MO04-EN01-échantillonnage'!Q$95)</f>
        <v/>
      </c>
      <c r="F190" s="444"/>
      <c r="G190" s="444"/>
      <c r="H190" s="444"/>
      <c r="I190" s="444"/>
      <c r="J190" s="445"/>
      <c r="K190" s="416"/>
    </row>
    <row r="191" spans="1:11" s="434" customFormat="1" ht="12.75" customHeight="1">
      <c r="A191" s="442"/>
      <c r="B191" s="447">
        <f>INDEX(plan,68,9)</f>
        <v>0</v>
      </c>
      <c r="C191" s="448" t="str">
        <f t="shared" si="101"/>
        <v/>
      </c>
      <c r="D191" s="448" t="str">
        <f t="shared" si="102"/>
        <v/>
      </c>
      <c r="E191" s="448" t="str">
        <f>IF(B191=0,"",'3-MO04-EN01-échantillonnage'!Q$96)</f>
        <v/>
      </c>
      <c r="F191" s="448" t="str">
        <f>IF(B191=0,"",'3-MO04-EN01-échantillonnage'!Q$96)</f>
        <v/>
      </c>
      <c r="G191" s="448" t="s">
        <v>17636</v>
      </c>
      <c r="H191" s="448"/>
      <c r="I191" s="448" t="s">
        <v>17636</v>
      </c>
      <c r="J191" s="449"/>
      <c r="K191" s="416"/>
    </row>
    <row r="192" spans="1:11" s="434" customFormat="1" ht="12.75" customHeight="1">
      <c r="A192" s="442"/>
      <c r="B192" s="438">
        <f>INDEX(plan,67,10)</f>
        <v>0</v>
      </c>
      <c r="C192" s="439" t="str">
        <f t="shared" ref="C192" si="103">IF(B192=0,"","S29")</f>
        <v/>
      </c>
      <c r="D192" s="439" t="str">
        <f>IF(B192=0,"","N1")</f>
        <v/>
      </c>
      <c r="E192" s="439" t="str">
        <f>IF(B192=0,"",'3-MO04-EN01-échantillonnage'!R$95)</f>
        <v/>
      </c>
      <c r="F192" s="439"/>
      <c r="G192" s="439"/>
      <c r="H192" s="439"/>
      <c r="I192" s="439"/>
      <c r="J192" s="440"/>
      <c r="K192" s="416"/>
    </row>
    <row r="193" spans="1:11" s="434" customFormat="1" ht="12.75" customHeight="1">
      <c r="A193" s="442"/>
      <c r="B193" s="443">
        <f>INDEX(plan,67,10)</f>
        <v>0</v>
      </c>
      <c r="C193" s="444" t="str">
        <f t="shared" si="96"/>
        <v/>
      </c>
      <c r="D193" s="444" t="str">
        <f>IF(B193=0,"","N1")</f>
        <v/>
      </c>
      <c r="E193" s="444" t="str">
        <f>IF(B193=0,"",'3-MO04-EN01-échantillonnage'!S$95)</f>
        <v/>
      </c>
      <c r="F193" s="444" t="str">
        <f>IF(B193=0,"",'3-MO04-EN01-échantillonnage'!R$96)</f>
        <v/>
      </c>
      <c r="G193" s="444" t="s">
        <v>17636</v>
      </c>
      <c r="H193" s="444"/>
      <c r="I193" s="444" t="s">
        <v>17636</v>
      </c>
      <c r="J193" s="445"/>
      <c r="K193" s="416"/>
    </row>
    <row r="194" spans="1:11" s="434" customFormat="1" ht="12.75" customHeight="1">
      <c r="A194" s="442"/>
      <c r="B194" s="443">
        <f>INDEX(plan,67,11)</f>
        <v>0</v>
      </c>
      <c r="C194" s="444" t="str">
        <f t="shared" si="96"/>
        <v/>
      </c>
      <c r="D194" s="444" t="str">
        <f>IF(B194=0,"","N1")</f>
        <v/>
      </c>
      <c r="E194" s="444" t="str">
        <f>IF(B194=0,"",'3-MO04-EN01-échantillonnage'!T$95)</f>
        <v/>
      </c>
      <c r="F194" s="444" t="str">
        <f>IF(B194=0,"",'3-MO04-EN01-échantillonnage'!S$96)</f>
        <v/>
      </c>
      <c r="G194" s="444" t="s">
        <v>17636</v>
      </c>
      <c r="H194" s="444"/>
      <c r="I194" s="444" t="s">
        <v>17636</v>
      </c>
      <c r="J194" s="445"/>
      <c r="K194" s="434" t="str">
        <f>REPLACE(G176,1,2,"")</f>
        <v/>
      </c>
    </row>
    <row r="195" spans="1:11" s="434" customFormat="1" ht="12.75" customHeight="1">
      <c r="A195" s="451"/>
      <c r="B195" s="447">
        <f>INDEX(plan,68,12)</f>
        <v>0</v>
      </c>
      <c r="C195" s="448" t="str">
        <f t="shared" si="96"/>
        <v/>
      </c>
      <c r="D195" s="448" t="str">
        <f>IF(B195=0,"","N1")</f>
        <v/>
      </c>
      <c r="E195" s="448" t="str">
        <f>IF(B195=0,"",'3-MO04-EN01-échantillonnage'!T$96)</f>
        <v/>
      </c>
      <c r="F195" s="448" t="str">
        <f>IF(B195=0,"",'3-MO04-EN01-échantillonnage'!T$96)</f>
        <v/>
      </c>
      <c r="G195" s="448" t="s">
        <v>17636</v>
      </c>
      <c r="H195" s="448"/>
      <c r="I195" s="448" t="s">
        <v>17636</v>
      </c>
      <c r="J195" s="449"/>
      <c r="K195" s="416"/>
    </row>
    <row r="196" spans="1:11" s="434" customFormat="1" ht="12.75" customHeight="1">
      <c r="A196" s="416"/>
      <c r="B196" s="416"/>
      <c r="C196" s="416"/>
      <c r="D196" s="416"/>
      <c r="E196" s="416"/>
      <c r="F196" s="416"/>
      <c r="G196" s="416"/>
      <c r="H196" s="416"/>
      <c r="I196" s="416"/>
      <c r="J196" s="416"/>
      <c r="K196" s="416"/>
    </row>
    <row r="197" spans="1:11" s="434" customFormat="1" ht="12.75" customHeight="1">
      <c r="A197" s="459"/>
      <c r="B197" s="459"/>
      <c r="C197" s="460" t="s">
        <v>32</v>
      </c>
      <c r="D197" s="460" t="s">
        <v>32</v>
      </c>
      <c r="E197" s="460" t="s">
        <v>32</v>
      </c>
      <c r="F197" s="461" t="s">
        <v>43</v>
      </c>
      <c r="G197" s="461" t="s">
        <v>43</v>
      </c>
      <c r="H197" s="461" t="s">
        <v>43</v>
      </c>
      <c r="I197" s="461" t="s">
        <v>43</v>
      </c>
      <c r="J197" s="461" t="s">
        <v>43</v>
      </c>
      <c r="K197" s="461" t="s">
        <v>43</v>
      </c>
    </row>
    <row r="198" spans="1:11" s="434" customFormat="1" ht="12.75" customHeight="1">
      <c r="B198" s="160" t="s">
        <v>18019</v>
      </c>
      <c r="C198" s="160" t="s">
        <v>44</v>
      </c>
      <c r="D198" s="160" t="s">
        <v>59</v>
      </c>
      <c r="E198" s="160" t="s">
        <v>118</v>
      </c>
      <c r="F198" s="160" t="s">
        <v>62</v>
      </c>
      <c r="G198" s="160" t="s">
        <v>80</v>
      </c>
      <c r="H198" s="160" t="s">
        <v>70</v>
      </c>
      <c r="I198" s="160" t="s">
        <v>74</v>
      </c>
      <c r="J198" s="160" t="s">
        <v>78</v>
      </c>
      <c r="K198" s="160" t="s">
        <v>18020</v>
      </c>
    </row>
    <row r="199" spans="1:11" s="434" customFormat="1" ht="12.75" customHeight="1">
      <c r="B199" s="462" t="s">
        <v>81</v>
      </c>
      <c r="C199" s="463" t="str">
        <f>VLOOKUP(1,tableau,2,0)</f>
        <v>S1</v>
      </c>
      <c r="D199" s="463" t="str">
        <f>VLOOKUP(1,tableau,3,0)</f>
        <v>N5</v>
      </c>
      <c r="E199" s="463" t="str">
        <f>VLOOKUP(1,tableau,4,0)</f>
        <v>PhA</v>
      </c>
      <c r="F199" s="464" t="str">
        <f>IF(VLOOKUP(1,tableau,5,0)=0,"",VLOOKUP(1,tableau,5,0))</f>
        <v/>
      </c>
      <c r="G199" s="464" t="str">
        <f>IF(VLOOKUP(1,tableau,6,0)="","",LEFT(VLOOKUP(1,tableau,6,0),1))</f>
        <v/>
      </c>
      <c r="H199" s="465"/>
      <c r="I199" s="464" t="str">
        <f>IF(VLOOKUP(1,tableau,8,0)=0,"",VLOOKUP(1,tableau,8,0))</f>
        <v/>
      </c>
      <c r="J199" s="465"/>
      <c r="K199" s="464" t="str">
        <f>IF(VLOOKUP(1,tableau,6,0)="","",REPLACE(VLOOKUP(1,tableau,6,0),1,2,""))</f>
        <v/>
      </c>
    </row>
    <row r="200" spans="1:11" s="434" customFormat="1" ht="12.75" customHeight="1">
      <c r="B200" s="462" t="s">
        <v>82</v>
      </c>
      <c r="C200" s="463" t="str">
        <f>VLOOKUP(2,tableau,2,0)</f>
        <v>S3</v>
      </c>
      <c r="D200" s="463" t="str">
        <f>VLOOKUP(2,tableau,3,0)</f>
        <v>N1</v>
      </c>
      <c r="E200" s="463" t="str">
        <f>VLOOKUP(2,tableau,4,0)</f>
        <v>PhA</v>
      </c>
      <c r="F200" s="464" t="str">
        <f>IF(VLOOKUP(2,tableau,5,0)=0,"",VLOOKUP(2,tableau,5,0))</f>
        <v/>
      </c>
      <c r="G200" s="464" t="str">
        <f>IF(VLOOKUP(2,tableau,6,0)="","",LEFT(VLOOKUP(2,tableau,6,0),1))</f>
        <v/>
      </c>
      <c r="H200" s="466"/>
      <c r="I200" s="464" t="str">
        <f>IF(VLOOKUP(2,tableau,8,0)=0,"",VLOOKUP(2,tableau,8,0))</f>
        <v/>
      </c>
      <c r="J200" s="466"/>
      <c r="K200" s="464" t="str">
        <f>IF(VLOOKUP(2,tableau,6,0)="","",REPLACE(VLOOKUP(2,tableau,6,0),1,2,""))</f>
        <v/>
      </c>
    </row>
    <row r="201" spans="1:11" s="434" customFormat="1" ht="12.75" customHeight="1">
      <c r="B201" s="462" t="s">
        <v>83</v>
      </c>
      <c r="C201" s="463" t="str">
        <f>VLOOKUP(3,tableau,2,0)</f>
        <v>S28</v>
      </c>
      <c r="D201" s="463" t="str">
        <f>VLOOKUP(3,tableau,3,0)</f>
        <v>N1</v>
      </c>
      <c r="E201" s="463" t="str">
        <f>VLOOKUP(3,tableau,4,0)</f>
        <v>PhA</v>
      </c>
      <c r="F201" s="464" t="str">
        <f>IF(VLOOKUP(3,tableau,5,0)=0,"",VLOOKUP(3,tableau,5,0))</f>
        <v/>
      </c>
      <c r="G201" s="464" t="str">
        <f>IF(VLOOKUP(3,tableau,6,0)="","",LEFT(VLOOKUP(3,tableau,6,0),1))</f>
        <v/>
      </c>
      <c r="H201" s="466"/>
      <c r="I201" s="464" t="str">
        <f>IF(VLOOKUP(3,tableau,8,0)=0,"",VLOOKUP(3,tableau,8,0))</f>
        <v/>
      </c>
      <c r="J201" s="466"/>
      <c r="K201" s="464" t="str">
        <f>IF(VLOOKUP(3,tableau,6,0)="","",REPLACE(VLOOKUP(3,tableau,6,0),1,2,""))</f>
        <v/>
      </c>
    </row>
    <row r="202" spans="1:11" s="434" customFormat="1" ht="12.75" customHeight="1">
      <c r="B202" s="462" t="s">
        <v>84</v>
      </c>
      <c r="C202" s="463" t="str">
        <f>VLOOKUP(4,tableau,2,0)</f>
        <v>S9</v>
      </c>
      <c r="D202" s="463" t="str">
        <f>VLOOKUP(4,tableau,3,0)</f>
        <v>N3</v>
      </c>
      <c r="E202" s="463" t="str">
        <f>VLOOKUP(4,tableau,4,0)</f>
        <v>PhA</v>
      </c>
      <c r="F202" s="464" t="str">
        <f>IF(VLOOKUP(4,tableau,5,0)=0,"",VLOOKUP(4,tableau,5,0))</f>
        <v/>
      </c>
      <c r="G202" s="464" t="str">
        <f>IF(VLOOKUP(4,tableau,6,0)="","",LEFT(VLOOKUP(4,tableau,6,0),1))</f>
        <v/>
      </c>
      <c r="H202" s="466"/>
      <c r="I202" s="464" t="str">
        <f>IF(VLOOKUP(4,tableau,8,0)=0,"",VLOOKUP(4,tableau,8,0))</f>
        <v/>
      </c>
      <c r="J202" s="466"/>
      <c r="K202" s="464" t="str">
        <f>IF(VLOOKUP(4,tableau,6,0)="","",REPLACE(VLOOKUP(4,tableau,6,0),1,2,""))</f>
        <v/>
      </c>
    </row>
    <row r="203" spans="1:11" s="434" customFormat="1" ht="12.75" customHeight="1">
      <c r="B203" s="462" t="s">
        <v>85</v>
      </c>
      <c r="C203" s="463" t="str">
        <f>VLOOKUP(5,tableau,2,0)</f>
        <v>S24</v>
      </c>
      <c r="D203" s="463" t="str">
        <f>VLOOKUP(5,tableau,3,0)</f>
        <v>N5</v>
      </c>
      <c r="E203" s="463" t="str">
        <f>VLOOKUP(5,tableau,4,0)</f>
        <v>PhB</v>
      </c>
      <c r="F203" s="464" t="str">
        <f>IF(VLOOKUP(5,tableau,5,0)=0,"",VLOOKUP(5,tableau,5,0))</f>
        <v/>
      </c>
      <c r="G203" s="464" t="str">
        <f>IF(VLOOKUP(5,tableau,6,0)="","",LEFT(VLOOKUP(5,tableau,6,0),1))</f>
        <v/>
      </c>
      <c r="H203" s="466"/>
      <c r="I203" s="464" t="str">
        <f>IF(VLOOKUP(5,tableau,8,0)=0,"",VLOOKUP(5,tableau,8,0))</f>
        <v/>
      </c>
      <c r="J203" s="466"/>
      <c r="K203" s="464" t="str">
        <f>IF(VLOOKUP(5,tableau,6,0)="","",REPLACE(VLOOKUP(5,tableau,6,0),1,2,""))</f>
        <v/>
      </c>
    </row>
    <row r="204" spans="1:11" s="434" customFormat="1" ht="12.75" customHeight="1">
      <c r="B204" s="462" t="s">
        <v>86</v>
      </c>
      <c r="C204" s="463" t="str">
        <f>VLOOKUP(6,tableau,2,0)</f>
        <v>S30</v>
      </c>
      <c r="D204" s="463" t="str">
        <f>VLOOKUP(6,tableau,3,0)</f>
        <v>N5</v>
      </c>
      <c r="E204" s="463" t="str">
        <f>VLOOKUP(6,tableau,4,0)</f>
        <v>PhB</v>
      </c>
      <c r="F204" s="464" t="str">
        <f>IF(VLOOKUP(6,tableau,5,0)=0,"",VLOOKUP(6,tableau,5,0))</f>
        <v/>
      </c>
      <c r="G204" s="464" t="str">
        <f>IF(VLOOKUP(6,tableau,6,0)="","",LEFT(VLOOKUP(6,tableau,6,0),1))</f>
        <v/>
      </c>
      <c r="H204" s="466"/>
      <c r="I204" s="464" t="str">
        <f>IF(VLOOKUP(6,tableau,8,0)=0,"",VLOOKUP(6,tableau,8,0))</f>
        <v/>
      </c>
      <c r="J204" s="466"/>
      <c r="K204" s="464" t="str">
        <f>IF(VLOOKUP(6,tableau,6,0)="","",REPLACE(VLOOKUP(6,tableau,6,0),1,2,""))</f>
        <v/>
      </c>
    </row>
    <row r="205" spans="1:11" s="434" customFormat="1" ht="12.75" customHeight="1">
      <c r="B205" s="462" t="s">
        <v>87</v>
      </c>
      <c r="C205" s="463" t="str">
        <f>VLOOKUP(7,tableau,2,0)</f>
        <v>S29</v>
      </c>
      <c r="D205" s="463" t="str">
        <f>VLOOKUP(7,tableau,3,0)</f>
        <v>N5</v>
      </c>
      <c r="E205" s="463" t="str">
        <f>VLOOKUP(7,tableau,4,0)</f>
        <v>PhB</v>
      </c>
      <c r="F205" s="464" t="str">
        <f>IF(VLOOKUP(7,tableau,5,0)=0,"",VLOOKUP(7,tableau,5,0))</f>
        <v/>
      </c>
      <c r="G205" s="464" t="str">
        <f>IF(VLOOKUP(7,tableau,6,0)="","",LEFT(VLOOKUP(7,tableau,6,0),1))</f>
        <v/>
      </c>
      <c r="H205" s="466"/>
      <c r="I205" s="464" t="str">
        <f>IF(VLOOKUP(7,tableau,8,0)=0,"",VLOOKUP(7,tableau,8,0))</f>
        <v/>
      </c>
      <c r="J205" s="466"/>
      <c r="K205" s="464" t="str">
        <f>IF(VLOOKUP(7,tableau,6,0)="","",REPLACE(VLOOKUP(7,tableau,6,0),1,2,""))</f>
        <v/>
      </c>
    </row>
    <row r="206" spans="1:11" s="434" customFormat="1" ht="12.75" customHeight="1">
      <c r="B206" s="462" t="s">
        <v>88</v>
      </c>
      <c r="C206" s="463" t="str">
        <f>VLOOKUP(8,tableau,2,0)</f>
        <v>S24</v>
      </c>
      <c r="D206" s="463" t="str">
        <f>VLOOKUP(8,tableau,3,0)</f>
        <v>N3</v>
      </c>
      <c r="E206" s="463" t="str">
        <f>VLOOKUP(8,tableau,4,0)</f>
        <v>PhB</v>
      </c>
      <c r="F206" s="464" t="str">
        <f>IF(VLOOKUP(8,tableau,5,0)=0,"",VLOOKUP(8,tableau,5,0))</f>
        <v/>
      </c>
      <c r="G206" s="464" t="str">
        <f>IF(VLOOKUP(8,tableau,6,0)="","",LEFT(VLOOKUP(8,tableau,6,0),1))</f>
        <v/>
      </c>
      <c r="H206" s="466"/>
      <c r="I206" s="464" t="str">
        <f>IF(VLOOKUP(8,tableau,8,0)=0,"",VLOOKUP(8,tableau,8,0))</f>
        <v/>
      </c>
      <c r="J206" s="466"/>
      <c r="K206" s="464" t="str">
        <f>IF(VLOOKUP(8,tableau,6,0)="","",REPLACE(VLOOKUP(8,tableau,6,0),1,2,""))</f>
        <v/>
      </c>
    </row>
    <row r="207" spans="1:11" s="434" customFormat="1" ht="12.75" customHeight="1">
      <c r="B207" s="462" t="s">
        <v>89</v>
      </c>
      <c r="C207" s="463" t="str">
        <f>VLOOKUP(9,tableau,2,0)</f>
        <v>S24</v>
      </c>
      <c r="D207" s="463" t="str">
        <f>VLOOKUP(9,tableau,3,0)</f>
        <v>N1</v>
      </c>
      <c r="E207" s="463" t="str">
        <f>VLOOKUP(9,tableau,4,0)</f>
        <v>PhC</v>
      </c>
      <c r="F207" s="464" t="str">
        <f>IF(VLOOKUP(9,tableau,5,0)=0,"",VLOOKUP(9,tableau,5,0))</f>
        <v/>
      </c>
      <c r="G207" s="464" t="str">
        <f>IF(VLOOKUP(9,tableau,6,0)="","",LEFT(VLOOKUP(9,tableau,6,0),1))</f>
        <v/>
      </c>
      <c r="H207" s="466"/>
      <c r="I207" s="464" t="str">
        <f>IF(VLOOKUP(9,tableau,8,0)=0,"",VLOOKUP(9,tableau,8,0))</f>
        <v/>
      </c>
      <c r="J207" s="466"/>
      <c r="K207" s="464" t="str">
        <f>IF(VLOOKUP(9,tableau,6,0)="","",REPLACE(VLOOKUP(9,tableau,6,0),1,2,""))</f>
        <v/>
      </c>
    </row>
    <row r="208" spans="1:11" s="434" customFormat="1" ht="12.75" customHeight="1">
      <c r="B208" s="462" t="s">
        <v>90</v>
      </c>
      <c r="C208" s="463" t="str">
        <f>VLOOKUP(10,tableau,2,0)</f>
        <v>S29</v>
      </c>
      <c r="D208" s="463" t="str">
        <f>VLOOKUP(10,tableau,3,0)</f>
        <v>N3</v>
      </c>
      <c r="E208" s="463" t="str">
        <f>VLOOKUP(10,tableau,4,0)</f>
        <v>PhC</v>
      </c>
      <c r="F208" s="464" t="str">
        <f>IF(VLOOKUP(10,tableau,5,0)=0,"",VLOOKUP(10,tableau,5,0))</f>
        <v/>
      </c>
      <c r="G208" s="464" t="str">
        <f>IF(VLOOKUP(10,tableau,6,0)="","",LEFT(VLOOKUP(10,tableau,6,0),1))</f>
        <v/>
      </c>
      <c r="H208" s="466"/>
      <c r="I208" s="464" t="str">
        <f>IF(VLOOKUP(10,tableau,8,0)=0,"",VLOOKUP(10,tableau,8,0))</f>
        <v/>
      </c>
      <c r="J208" s="466"/>
      <c r="K208" s="464" t="str">
        <f>IF(VLOOKUP(10,tableau,6,0)="","",REPLACE(VLOOKUP(10,tableau,6,0),1,2,""))</f>
        <v/>
      </c>
    </row>
    <row r="209" spans="2:11" s="434" customFormat="1" ht="12.75" customHeight="1">
      <c r="B209" s="462" t="s">
        <v>91</v>
      </c>
      <c r="C209" s="463" t="str">
        <f>VLOOKUP(11,tableau,2,0)</f>
        <v>S30</v>
      </c>
      <c r="D209" s="463" t="str">
        <f>VLOOKUP(11,tableau,3,0)</f>
        <v>N3</v>
      </c>
      <c r="E209" s="463" t="str">
        <f>VLOOKUP(11,tableau,4,0)</f>
        <v>PhC</v>
      </c>
      <c r="F209" s="464" t="str">
        <f>IF(VLOOKUP(11,tableau,5,0)=0,"",VLOOKUP(11,tableau,5,0))</f>
        <v/>
      </c>
      <c r="G209" s="464" t="str">
        <f>IF(VLOOKUP(11,tableau,6,0)="","",LEFT(VLOOKUP(11,tableau,6,0),1))</f>
        <v/>
      </c>
      <c r="H209" s="466"/>
      <c r="I209" s="464" t="str">
        <f>IF(VLOOKUP(11,tableau,8,0)=0,"",VLOOKUP(11,tableau,8,0))</f>
        <v/>
      </c>
      <c r="J209" s="466"/>
      <c r="K209" s="464" t="str">
        <f>IF(VLOOKUP(11,tableau,6,0)="","",REPLACE(VLOOKUP(11,tableau,6,0),1,2,""))</f>
        <v/>
      </c>
    </row>
    <row r="210" spans="2:11" s="434" customFormat="1" ht="12.75" customHeight="1">
      <c r="B210" s="462" t="s">
        <v>92</v>
      </c>
      <c r="C210" s="463" t="str">
        <f>VLOOKUP(12,tableau,2,0)</f>
        <v>S24</v>
      </c>
      <c r="D210" s="463" t="str">
        <f>VLOOKUP(12,tableau,3,0)</f>
        <v>N6</v>
      </c>
      <c r="E210" s="463" t="str">
        <f>VLOOKUP(12,tableau,4,0)</f>
        <v>PhC</v>
      </c>
      <c r="F210" s="464" t="str">
        <f>IF(VLOOKUP(12,tableau,5,0)=0,"",VLOOKUP(12,tableau,5,0))</f>
        <v/>
      </c>
      <c r="G210" s="464" t="str">
        <f>IF(VLOOKUP(12,tableau,6,0)="","",LEFT(VLOOKUP(12,tableau,6,0),1))</f>
        <v/>
      </c>
      <c r="H210" s="466"/>
      <c r="I210" s="464" t="str">
        <f>IF(VLOOKUP(12,tableau,8,0)=0,"",VLOOKUP(12,tableau,8,0))</f>
        <v/>
      </c>
      <c r="J210" s="466"/>
      <c r="K210" s="464" t="str">
        <f>IF(VLOOKUP(12,tableau,6,0)="","",REPLACE(VLOOKUP(12,tableau,6,0),1,2,""))</f>
        <v/>
      </c>
    </row>
    <row r="211" spans="2:11" s="434" customFormat="1" ht="12.75" customHeight="1"/>
    <row r="212" spans="2:11" s="434" customFormat="1" ht="12.75" customHeight="1"/>
    <row r="213" spans="2:11" s="434" customFormat="1" ht="12.75" customHeight="1"/>
    <row r="214" spans="2:11" s="434" customFormat="1" ht="12.75" customHeight="1"/>
    <row r="215" spans="2:11" s="434" customFormat="1" ht="12.75" customHeight="1"/>
    <row r="216" spans="2:11" s="434" customFormat="1" ht="12.75" customHeight="1"/>
    <row r="217" spans="2:11" s="434" customFormat="1" ht="12.75" customHeight="1"/>
    <row r="218" spans="2:11" s="434" customFormat="1" ht="12.75" customHeight="1"/>
    <row r="219" spans="2:11" s="434" customFormat="1" ht="12.75" customHeight="1"/>
    <row r="220" spans="2:11" s="434" customFormat="1" ht="12.75" customHeight="1"/>
    <row r="221" spans="2:11" s="434" customFormat="1" ht="12.75" customHeight="1"/>
    <row r="222" spans="2:11" s="434" customFormat="1" ht="12.75" customHeight="1"/>
    <row r="223" spans="2:11" s="434" customFormat="1" ht="12.75" customHeight="1"/>
    <row r="224" spans="2:11" s="434" customFormat="1" ht="12.75" customHeight="1"/>
    <row r="225" s="434" customFormat="1" ht="12.75" customHeight="1"/>
    <row r="226" s="434" customFormat="1" ht="12.75" customHeight="1"/>
    <row r="227" s="434" customFormat="1" ht="12.75" customHeight="1"/>
    <row r="228" s="434" customFormat="1" ht="12.75" customHeight="1"/>
    <row r="229" s="434" customFormat="1" ht="12.75" customHeight="1"/>
    <row r="230" s="434" customFormat="1" ht="12.75" customHeight="1"/>
    <row r="231" s="434" customFormat="1" ht="12.75" customHeight="1"/>
    <row r="232" s="434" customFormat="1" ht="12.75" customHeight="1"/>
    <row r="233" s="434" customFormat="1" ht="12.75" customHeight="1"/>
    <row r="234" s="434" customFormat="1" ht="12.75" customHeight="1"/>
    <row r="235" s="434" customFormat="1" ht="12.75" customHeight="1"/>
    <row r="236" s="434" customFormat="1" ht="12.75" customHeight="1"/>
    <row r="237" s="434" customFormat="1" ht="12.75" customHeight="1"/>
    <row r="238" s="434" customFormat="1" ht="12.75" customHeight="1"/>
    <row r="239" s="434" customFormat="1" ht="12.75" customHeight="1"/>
    <row r="240" s="434" customFormat="1" ht="12.75" customHeight="1"/>
    <row r="241" s="434" customFormat="1" ht="12.75" customHeight="1"/>
    <row r="242" s="434" customFormat="1" ht="12.75" customHeight="1"/>
    <row r="243" s="434" customFormat="1" ht="12.75" customHeight="1"/>
    <row r="244" s="434" customFormat="1" ht="12.75" customHeight="1"/>
    <row r="245" s="434" customFormat="1" ht="12.75" customHeight="1"/>
    <row r="246" s="434" customFormat="1" ht="12.75" customHeight="1"/>
    <row r="247" s="434" customFormat="1" ht="12.75" customHeight="1"/>
    <row r="248" s="434" customFormat="1" ht="12.75" customHeight="1"/>
    <row r="249" s="434" customFormat="1" ht="12.75" customHeight="1"/>
    <row r="250" s="434" customFormat="1" ht="12.75" customHeight="1"/>
    <row r="251" s="434" customFormat="1" ht="12.75" customHeight="1"/>
    <row r="252" s="434" customFormat="1" ht="12.75" customHeight="1"/>
    <row r="253" s="434" customFormat="1" ht="12.75" customHeight="1"/>
    <row r="254" s="434" customFormat="1" ht="12.75" customHeight="1"/>
    <row r="255" s="434" customFormat="1" ht="12.75" customHeight="1"/>
    <row r="256" s="434" customFormat="1" ht="12.75" customHeight="1"/>
    <row r="257" s="434" customFormat="1" ht="12.75" customHeight="1"/>
    <row r="258" s="434" customFormat="1" ht="12.75" customHeight="1"/>
    <row r="259" s="434" customFormat="1" ht="12.75" customHeight="1"/>
    <row r="260" s="434" customFormat="1" ht="12.75" customHeight="1"/>
    <row r="261" s="434" customFormat="1" ht="12.75" customHeight="1"/>
    <row r="262" s="434" customFormat="1" ht="12.75" customHeight="1"/>
    <row r="263" s="434" customFormat="1" ht="12.75" customHeight="1"/>
    <row r="264" s="434" customFormat="1" ht="12.75" customHeight="1"/>
    <row r="265" s="434" customFormat="1" ht="12.75" customHeight="1"/>
    <row r="266" s="434" customFormat="1" ht="12.75" customHeight="1"/>
    <row r="267" s="434" customFormat="1" ht="12.75" customHeight="1"/>
    <row r="268" s="434" customFormat="1" ht="12.75" customHeight="1"/>
    <row r="269" s="434" customFormat="1" ht="12.75" customHeight="1"/>
    <row r="270" s="434" customFormat="1" ht="12.75" customHeight="1"/>
    <row r="271" s="434" customFormat="1" ht="12.75" customHeight="1"/>
    <row r="272" s="434" customFormat="1" ht="12.75" customHeight="1"/>
    <row r="273" s="434" customFormat="1" ht="12.75" customHeight="1"/>
    <row r="274" s="434" customFormat="1" ht="12.75" customHeight="1"/>
    <row r="275" s="434" customFormat="1" ht="12.75" customHeight="1"/>
    <row r="276" s="434" customFormat="1" ht="12.75" customHeight="1"/>
    <row r="277" s="434" customFormat="1" ht="12.75" customHeight="1"/>
    <row r="278" s="434" customFormat="1" ht="12.75" customHeight="1"/>
    <row r="279" s="434" customFormat="1" ht="12.75" customHeight="1"/>
    <row r="280" s="434" customFormat="1" ht="12.75" customHeight="1"/>
    <row r="281" s="434" customFormat="1" ht="12.75" customHeight="1"/>
    <row r="282" s="434" customFormat="1" ht="12.75" customHeight="1"/>
    <row r="283" s="434" customFormat="1" ht="12.75" customHeight="1"/>
    <row r="284" s="434" customFormat="1" ht="12.75" customHeight="1"/>
    <row r="285" s="434" customFormat="1" ht="12.75" customHeight="1"/>
    <row r="286" s="434" customFormat="1" ht="12.75" customHeight="1"/>
    <row r="287" s="434" customFormat="1" ht="12.75" customHeight="1"/>
    <row r="288" s="434" customFormat="1" ht="12.75" customHeight="1"/>
    <row r="289" s="434" customFormat="1" ht="12.75" customHeight="1"/>
    <row r="290" s="434" customFormat="1" ht="12.75" customHeight="1"/>
    <row r="291" s="434" customFormat="1" ht="12.75" customHeight="1"/>
    <row r="292" s="434" customFormat="1" ht="12.75" customHeight="1"/>
    <row r="293" s="434" customFormat="1" ht="12.75" customHeight="1"/>
    <row r="294" s="434" customFormat="1" ht="12.75" customHeight="1"/>
    <row r="295" s="434" customFormat="1" ht="12.75" customHeight="1"/>
    <row r="296" s="434" customFormat="1" ht="12.75" customHeight="1"/>
    <row r="297" s="434" customFormat="1" ht="12.75" customHeight="1"/>
    <row r="298" s="434" customFormat="1" ht="12.75" customHeight="1"/>
    <row r="299" s="434" customFormat="1" ht="12.75" customHeight="1"/>
    <row r="300" s="434" customFormat="1" ht="12.75" customHeight="1"/>
    <row r="301" s="434" customFormat="1" ht="12.75" customHeight="1"/>
    <row r="302" s="434" customFormat="1" ht="12.75" customHeight="1"/>
    <row r="303" s="434" customFormat="1" ht="12.75" customHeight="1"/>
    <row r="304" s="434" customFormat="1" ht="12.75" customHeight="1"/>
    <row r="305" s="434" customFormat="1" ht="12.75" customHeight="1"/>
    <row r="306" s="434" customFormat="1" ht="12.75" customHeight="1"/>
    <row r="307" s="434" customFormat="1" ht="12.75" customHeight="1"/>
    <row r="308" s="434" customFormat="1" ht="12.75" customHeight="1"/>
    <row r="309" s="434" customFormat="1" ht="12.75" customHeight="1"/>
    <row r="310" s="434" customFormat="1" ht="12.75" customHeight="1"/>
    <row r="311" s="434" customFormat="1" ht="12.75" customHeight="1"/>
    <row r="312" s="434" customFormat="1" ht="12.75" customHeight="1"/>
    <row r="313" s="434" customFormat="1" ht="12.75" customHeight="1"/>
    <row r="314" s="434" customFormat="1" ht="13.5" customHeight="1"/>
    <row r="315" s="434" customFormat="1" ht="12.75" customHeight="1"/>
    <row r="316" s="434" customFormat="1" ht="12.75" customHeight="1"/>
    <row r="317" s="434" customFormat="1" ht="12.75" customHeight="1"/>
    <row r="318" s="434" customFormat="1" ht="12.75" customHeight="1"/>
    <row r="319" s="434" customFormat="1" ht="12.75" customHeight="1"/>
    <row r="320" s="434" customFormat="1" ht="12.75" customHeight="1"/>
    <row r="321" s="434" customFormat="1" ht="12.75" customHeight="1"/>
    <row r="322" s="434" customFormat="1" ht="12" customHeight="1"/>
    <row r="323" s="434" customFormat="1" ht="12.75" customHeight="1"/>
    <row r="324" s="434" customFormat="1" ht="12.75" customHeight="1"/>
    <row r="325" s="434" customFormat="1" ht="12.75" customHeight="1"/>
    <row r="326" s="434" customFormat="1" ht="12.75" customHeight="1"/>
    <row r="327" s="434" customFormat="1" ht="12.75" customHeight="1"/>
    <row r="328" s="434" customFormat="1" ht="12.75" customHeight="1"/>
    <row r="329" s="434" customFormat="1" ht="12.75" customHeight="1"/>
    <row r="330" s="434" customFormat="1" ht="12.75" customHeight="1"/>
    <row r="331" s="434" customFormat="1" ht="12.75" customHeight="1"/>
    <row r="332" s="434" customFormat="1" ht="12.75" customHeight="1"/>
    <row r="333" s="434" customFormat="1" ht="12.75" customHeight="1"/>
    <row r="334" s="434" customFormat="1" ht="12.75" customHeight="1"/>
    <row r="335" s="434" customFormat="1" ht="12.75" customHeight="1"/>
    <row r="336" s="434" customFormat="1" ht="12.75" customHeight="1"/>
    <row r="337" s="434" customFormat="1" ht="12.75" customHeight="1"/>
    <row r="338" s="434" customFormat="1" ht="12.75" customHeight="1"/>
    <row r="339" s="434" customFormat="1" ht="12.75" customHeight="1"/>
    <row r="340" s="434" customFormat="1" ht="12.75" customHeight="1"/>
    <row r="341" s="434" customFormat="1" ht="12.75" customHeight="1"/>
    <row r="342" s="434" customFormat="1" ht="12.75" customHeight="1"/>
    <row r="343" s="434" customFormat="1" ht="12.75" customHeight="1"/>
    <row r="344" s="434" customFormat="1" ht="12.75" customHeight="1"/>
    <row r="345" s="434" customFormat="1" ht="12.75" customHeight="1"/>
    <row r="346" s="434" customFormat="1" ht="12.75" customHeight="1"/>
    <row r="347" s="434" customFormat="1" ht="12.75" customHeight="1"/>
    <row r="348" s="434" customFormat="1" ht="12.75" customHeight="1"/>
    <row r="349" s="434" customFormat="1" ht="12.75" customHeight="1"/>
    <row r="350" s="434" customFormat="1" ht="12.75" customHeight="1"/>
    <row r="351" s="434" customFormat="1" ht="12.75" customHeight="1"/>
    <row r="352" s="434" customFormat="1" ht="12.75" customHeight="1"/>
    <row r="353" s="434" customFormat="1" ht="12.75" customHeight="1"/>
    <row r="354" s="434" customFormat="1" ht="12.75" customHeight="1"/>
    <row r="355" s="434" customFormat="1" ht="12.75" customHeight="1"/>
    <row r="356" s="434" customFormat="1" ht="12.75" customHeight="1"/>
    <row r="357" s="434" customFormat="1" ht="12.75" customHeight="1"/>
    <row r="358" s="434" customFormat="1" ht="12.75" customHeight="1"/>
    <row r="359" s="434" customFormat="1" ht="12.75" customHeight="1"/>
    <row r="360" s="434" customFormat="1" ht="12.75" customHeight="1"/>
    <row r="361" s="434" customFormat="1" ht="12.75" customHeight="1"/>
    <row r="362" s="434" customFormat="1" ht="12.75" customHeight="1"/>
    <row r="363" s="434" customFormat="1" ht="12.75" customHeight="1"/>
    <row r="364" s="434" customFormat="1" ht="12.75" customHeight="1"/>
    <row r="365" s="434" customFormat="1" ht="12.75" customHeight="1"/>
    <row r="366" s="434" customFormat="1" ht="12.75" customHeight="1"/>
    <row r="367" s="434" customFormat="1" ht="12.75" customHeight="1"/>
    <row r="368" s="434" customFormat="1" ht="12.75" customHeight="1"/>
    <row r="369" s="434" customFormat="1" ht="12.75" customHeight="1"/>
    <row r="370" s="434" customFormat="1" ht="12.75" customHeight="1"/>
    <row r="371" s="434" customFormat="1" ht="12.75" customHeight="1"/>
    <row r="372" s="434" customFormat="1" ht="12.75" customHeight="1"/>
    <row r="373" s="434" customFormat="1" ht="12.75" customHeight="1"/>
    <row r="374" s="434" customFormat="1" ht="12.75" customHeight="1"/>
    <row r="375" s="434" customFormat="1" ht="12.75" customHeight="1"/>
    <row r="376" s="434" customFormat="1" ht="12.75" customHeight="1"/>
    <row r="377" s="434" customFormat="1" ht="12.75" customHeight="1"/>
    <row r="378" s="434" customFormat="1" ht="12.75" customHeight="1"/>
    <row r="379" s="434" customFormat="1" ht="12.75" customHeight="1"/>
    <row r="380" s="434" customFormat="1" ht="12.75" customHeight="1"/>
    <row r="381" s="434" customFormat="1" ht="12.75" customHeight="1"/>
    <row r="382" s="434" customFormat="1" ht="12.75" customHeight="1"/>
    <row r="383" s="434" customFormat="1" ht="12.75" customHeight="1"/>
    <row r="384" s="434" customFormat="1" ht="12.75" customHeight="1"/>
    <row r="385" s="434" customFormat="1" ht="12.75" customHeight="1"/>
    <row r="386" s="434" customFormat="1" ht="12.75" customHeight="1"/>
    <row r="387" s="434" customFormat="1" ht="12.75" customHeight="1"/>
    <row r="388" s="434" customFormat="1" ht="12.75" customHeight="1"/>
    <row r="389" s="434" customFormat="1" ht="12.75" customHeight="1"/>
    <row r="390" s="434" customFormat="1" ht="12.75" customHeight="1"/>
    <row r="391" s="434" customFormat="1" ht="12.75" customHeight="1"/>
    <row r="392" s="434" customFormat="1" ht="12.75" customHeight="1"/>
    <row r="393" s="434" customFormat="1" ht="12.75" customHeight="1"/>
    <row r="394" s="434" customFormat="1" ht="12.75" customHeight="1"/>
    <row r="395" s="434" customFormat="1" ht="12.75" customHeight="1"/>
    <row r="396" s="434" customFormat="1" ht="12.75" customHeight="1"/>
    <row r="397" s="434" customFormat="1" ht="12.75" customHeight="1"/>
    <row r="398" s="434" customFormat="1" ht="12.75" customHeight="1"/>
    <row r="399" s="434" customFormat="1" ht="12.75" customHeight="1"/>
    <row r="400" s="434" customFormat="1" ht="12.75" customHeight="1"/>
    <row r="401" s="434" customFormat="1" ht="12.75" customHeight="1"/>
    <row r="402" s="434" customFormat="1" ht="12.75" customHeight="1"/>
    <row r="403" s="434" customFormat="1" ht="12.75" customHeight="1"/>
    <row r="404" s="434" customFormat="1" ht="12.75" customHeight="1"/>
    <row r="405" s="434" customFormat="1" ht="12.75" customHeight="1"/>
    <row r="406" s="434" customFormat="1" ht="12.75" customHeight="1"/>
    <row r="407" s="434" customFormat="1" ht="12.75" customHeight="1"/>
    <row r="408" s="434" customFormat="1" ht="12.75" customHeight="1"/>
    <row r="409" s="434" customFormat="1" ht="12.75" customHeight="1"/>
    <row r="410" s="434" customFormat="1" ht="12.75" customHeight="1"/>
    <row r="411" s="434" customFormat="1" ht="12.75" customHeight="1"/>
    <row r="412" s="434" customFormat="1" ht="12.75" customHeight="1"/>
    <row r="413" s="434" customFormat="1" ht="12.75" customHeight="1"/>
    <row r="414" s="434" customFormat="1" ht="12.75" customHeight="1"/>
    <row r="415" s="434" customFormat="1" ht="12.75" customHeight="1"/>
    <row r="416" s="434" customFormat="1" ht="12.75" customHeight="1"/>
    <row r="417" s="434" customFormat="1" ht="12.75" customHeight="1"/>
    <row r="418" s="434" customFormat="1" ht="12.75" customHeight="1"/>
    <row r="419" s="434" customFormat="1" ht="12.75" customHeight="1"/>
    <row r="420" s="434" customFormat="1" ht="12.75" customHeight="1"/>
    <row r="421" s="434" customFormat="1" ht="12.75" customHeight="1"/>
    <row r="422" s="434" customFormat="1" ht="12.75" customHeight="1"/>
    <row r="423" s="434" customFormat="1" ht="12.75" customHeight="1"/>
    <row r="424" s="434" customFormat="1" ht="12.75" customHeight="1"/>
    <row r="425" s="434" customFormat="1" ht="12.75" customHeight="1"/>
    <row r="426" s="434" customFormat="1" ht="12.75" customHeight="1"/>
    <row r="427" s="434" customFormat="1" ht="12.75" customHeight="1"/>
    <row r="428" s="434" customFormat="1" ht="12.75" customHeight="1"/>
    <row r="429" s="434" customFormat="1" ht="12.75" customHeight="1"/>
    <row r="430" s="434" customFormat="1" ht="12.75" customHeight="1"/>
    <row r="431" s="434" customFormat="1" ht="12.75" customHeight="1"/>
    <row r="432" s="434" customFormat="1" ht="12.75" customHeight="1"/>
    <row r="433" s="434" customFormat="1" ht="12.75" customHeight="1"/>
    <row r="434" s="434" customFormat="1" ht="12.75" customHeight="1"/>
    <row r="435" s="434" customFormat="1" ht="12.75" customHeight="1"/>
    <row r="436" s="434" customFormat="1" ht="12.75" customHeight="1"/>
    <row r="437" s="434" customFormat="1" ht="12.75" customHeight="1"/>
    <row r="438" s="434" customFormat="1" ht="12.75" customHeight="1"/>
    <row r="439" s="434" customFormat="1" ht="12.75" customHeight="1"/>
    <row r="440" s="434" customFormat="1" ht="12.75" customHeight="1"/>
    <row r="441" s="434" customFormat="1" ht="12.75" customHeight="1"/>
    <row r="442" s="434" customFormat="1" ht="12.75" customHeight="1"/>
    <row r="443" s="434" customFormat="1" ht="12.75" customHeight="1"/>
    <row r="444" s="434" customFormat="1" ht="12.75" customHeight="1"/>
    <row r="445" s="434" customFormat="1" ht="12.75" customHeight="1"/>
    <row r="446" s="434" customFormat="1" ht="12.75" customHeight="1"/>
    <row r="447" s="434" customFormat="1" ht="12.75" customHeight="1"/>
    <row r="448" s="434" customFormat="1" ht="12.75" customHeight="1"/>
    <row r="449" s="434" customFormat="1" ht="12.75" customHeight="1"/>
    <row r="450" s="434" customFormat="1" ht="12.75" customHeight="1"/>
    <row r="451" s="434" customFormat="1" ht="12.75" customHeight="1"/>
    <row r="452" s="434" customFormat="1" ht="12.75" customHeight="1"/>
    <row r="453" s="434" customFormat="1" ht="12.75" customHeight="1"/>
    <row r="454" s="434" customFormat="1" ht="12.75" customHeight="1"/>
    <row r="455" s="434" customFormat="1" ht="12.75" customHeight="1"/>
    <row r="456" s="434" customFormat="1" ht="12.75" customHeight="1"/>
    <row r="457" s="434" customFormat="1" ht="12.75" customHeight="1"/>
    <row r="458" s="434" customFormat="1" ht="12.75" customHeight="1"/>
  </sheetData>
  <sheetProtection algorithmName="SHA-512" hashValue="xkcEvmRdCF5tc3TuT8SEPJkV7eRJo99jLgiX3FxVb4r5MnssG8Jpu5lyZrJCa21DbgMwbHdKcS4rWwaE0s03BA==" saltValue="rDgBa9LxuVCp9staKuwG3A==" spinCount="100000" sheet="1" objects="1" scenarios="1"/>
  <pageMargins left="0.179861111111111" right="0.17013888888888901" top="0.47013888888888899" bottom="0.22986111111111099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topLeftCell="A11407" workbookViewId="0">
      <selection sqref="A1:XFD1048576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16662</v>
      </c>
      <c r="B1" t="s">
        <v>16663</v>
      </c>
      <c r="C1" t="s">
        <v>16664</v>
      </c>
      <c r="D1" t="s">
        <v>16665</v>
      </c>
      <c r="E1" t="s">
        <v>17589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16666</v>
      </c>
    </row>
    <row r="3" spans="1:5">
      <c r="A3" t="s">
        <v>6166</v>
      </c>
      <c r="B3">
        <v>29727</v>
      </c>
      <c r="C3" t="s">
        <v>6167</v>
      </c>
      <c r="D3" t="s">
        <v>6168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6169</v>
      </c>
      <c r="B5">
        <v>41630</v>
      </c>
      <c r="C5" t="s">
        <v>6170</v>
      </c>
      <c r="D5" t="s">
        <v>6168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6171</v>
      </c>
      <c r="B8">
        <v>30531</v>
      </c>
      <c r="C8" t="s">
        <v>4950</v>
      </c>
      <c r="D8" t="s">
        <v>6168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6172</v>
      </c>
      <c r="B12">
        <v>41074</v>
      </c>
      <c r="C12" t="s">
        <v>6173</v>
      </c>
      <c r="D12" t="s">
        <v>6168</v>
      </c>
    </row>
    <row r="13" spans="1:5">
      <c r="A13" t="s">
        <v>6174</v>
      </c>
      <c r="B13">
        <v>24010</v>
      </c>
      <c r="C13" t="s">
        <v>1325</v>
      </c>
      <c r="D13" t="s">
        <v>6168</v>
      </c>
    </row>
    <row r="14" spans="1:5">
      <c r="A14" t="s">
        <v>6175</v>
      </c>
      <c r="B14">
        <v>24011</v>
      </c>
      <c r="C14" t="s">
        <v>6176</v>
      </c>
      <c r="D14" t="s">
        <v>6168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6177</v>
      </c>
      <c r="B16">
        <v>21533</v>
      </c>
      <c r="C16" t="s">
        <v>6178</v>
      </c>
      <c r="D16" t="s">
        <v>6168</v>
      </c>
    </row>
    <row r="17" spans="1:4">
      <c r="A17" t="s">
        <v>6179</v>
      </c>
      <c r="B17">
        <v>23490</v>
      </c>
      <c r="C17" t="s">
        <v>6180</v>
      </c>
      <c r="D17" t="s">
        <v>6168</v>
      </c>
    </row>
    <row r="18" spans="1:4">
      <c r="A18" t="s">
        <v>6181</v>
      </c>
      <c r="B18">
        <v>21534</v>
      </c>
      <c r="C18" t="s">
        <v>6182</v>
      </c>
      <c r="D18" t="s">
        <v>6168</v>
      </c>
    </row>
    <row r="19" spans="1:4">
      <c r="A19" t="s">
        <v>6183</v>
      </c>
      <c r="B19">
        <v>24481</v>
      </c>
      <c r="C19" t="s">
        <v>6184</v>
      </c>
      <c r="D19" t="s">
        <v>6168</v>
      </c>
    </row>
    <row r="20" spans="1:4">
      <c r="A20" t="s">
        <v>6185</v>
      </c>
      <c r="B20">
        <v>27394</v>
      </c>
      <c r="C20" t="s">
        <v>6186</v>
      </c>
      <c r="D20" t="s">
        <v>6168</v>
      </c>
    </row>
    <row r="21" spans="1:4">
      <c r="A21" t="s">
        <v>6187</v>
      </c>
      <c r="B21">
        <v>27418</v>
      </c>
      <c r="C21" t="s">
        <v>6188</v>
      </c>
      <c r="D21" t="s">
        <v>6168</v>
      </c>
    </row>
    <row r="22" spans="1:4">
      <c r="A22" t="s">
        <v>6189</v>
      </c>
      <c r="B22">
        <v>23491</v>
      </c>
      <c r="C22" t="s">
        <v>6190</v>
      </c>
      <c r="D22" t="s">
        <v>6168</v>
      </c>
    </row>
    <row r="23" spans="1:4">
      <c r="A23" t="s">
        <v>6191</v>
      </c>
      <c r="B23">
        <v>23509</v>
      </c>
      <c r="C23" t="s">
        <v>6192</v>
      </c>
      <c r="D23" t="s">
        <v>6168</v>
      </c>
    </row>
    <row r="24" spans="1:4">
      <c r="A24" t="s">
        <v>6193</v>
      </c>
      <c r="B24">
        <v>23493</v>
      </c>
      <c r="C24" t="s">
        <v>6194</v>
      </c>
      <c r="D24" t="s">
        <v>6168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6195</v>
      </c>
      <c r="B26">
        <v>30123</v>
      </c>
      <c r="C26" t="s">
        <v>6196</v>
      </c>
      <c r="D26" t="s">
        <v>6168</v>
      </c>
    </row>
    <row r="27" spans="1:4">
      <c r="A27" t="s">
        <v>6197</v>
      </c>
      <c r="B27">
        <v>25036</v>
      </c>
      <c r="C27" t="s">
        <v>6198</v>
      </c>
      <c r="D27" t="s">
        <v>6168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16750</v>
      </c>
      <c r="B29">
        <v>43324</v>
      </c>
      <c r="D29" t="s">
        <v>10888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6199</v>
      </c>
      <c r="B32">
        <v>21536</v>
      </c>
      <c r="C32" t="s">
        <v>709</v>
      </c>
      <c r="D32" t="s">
        <v>6168</v>
      </c>
    </row>
    <row r="33" spans="1:4">
      <c r="A33" t="s">
        <v>6200</v>
      </c>
      <c r="B33">
        <v>21537</v>
      </c>
      <c r="C33" t="s">
        <v>6201</v>
      </c>
      <c r="D33" t="s">
        <v>6168</v>
      </c>
    </row>
    <row r="34" spans="1:4">
      <c r="A34" t="s">
        <v>6202</v>
      </c>
      <c r="B34">
        <v>21538</v>
      </c>
      <c r="C34" t="s">
        <v>723</v>
      </c>
      <c r="D34" t="s">
        <v>6168</v>
      </c>
    </row>
    <row r="35" spans="1:4">
      <c r="A35" t="s">
        <v>6203</v>
      </c>
      <c r="B35">
        <v>21539</v>
      </c>
      <c r="C35" t="s">
        <v>6204</v>
      </c>
      <c r="D35" t="s">
        <v>6168</v>
      </c>
    </row>
    <row r="36" spans="1:4">
      <c r="A36" t="s">
        <v>6205</v>
      </c>
      <c r="B36">
        <v>27365</v>
      </c>
      <c r="C36" t="s">
        <v>6206</v>
      </c>
      <c r="D36" t="s">
        <v>6168</v>
      </c>
    </row>
    <row r="37" spans="1:4">
      <c r="A37" t="s">
        <v>6207</v>
      </c>
      <c r="B37">
        <v>21540</v>
      </c>
      <c r="C37" t="s">
        <v>6204</v>
      </c>
      <c r="D37" t="s">
        <v>6168</v>
      </c>
    </row>
    <row r="38" spans="1:4">
      <c r="A38" t="s">
        <v>6208</v>
      </c>
      <c r="B38">
        <v>21541</v>
      </c>
      <c r="C38" t="s">
        <v>6204</v>
      </c>
      <c r="D38" t="s">
        <v>6168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6209</v>
      </c>
      <c r="B40">
        <v>21543</v>
      </c>
      <c r="C40" t="s">
        <v>6210</v>
      </c>
      <c r="D40" t="s">
        <v>6168</v>
      </c>
    </row>
    <row r="41" spans="1:4">
      <c r="A41" t="s">
        <v>16830</v>
      </c>
      <c r="B41">
        <v>43867</v>
      </c>
      <c r="C41" t="s">
        <v>16831</v>
      </c>
      <c r="D41" t="s">
        <v>123</v>
      </c>
    </row>
    <row r="42" spans="1:4">
      <c r="A42" t="s">
        <v>16937</v>
      </c>
      <c r="B42">
        <v>44001</v>
      </c>
      <c r="C42" t="s">
        <v>4950</v>
      </c>
      <c r="D42" t="s">
        <v>6168</v>
      </c>
    </row>
    <row r="43" spans="1:4">
      <c r="A43" t="s">
        <v>6211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6212</v>
      </c>
      <c r="B45">
        <v>41076</v>
      </c>
      <c r="C45" t="s">
        <v>5837</v>
      </c>
      <c r="D45" t="s">
        <v>6168</v>
      </c>
    </row>
    <row r="46" spans="1:4">
      <c r="A46" t="s">
        <v>6213</v>
      </c>
      <c r="B46">
        <v>35904</v>
      </c>
      <c r="C46" t="s">
        <v>6214</v>
      </c>
      <c r="D46" t="s">
        <v>6168</v>
      </c>
    </row>
    <row r="47" spans="1:4">
      <c r="A47" t="s">
        <v>6215</v>
      </c>
      <c r="B47">
        <v>35905</v>
      </c>
      <c r="C47" t="s">
        <v>6216</v>
      </c>
      <c r="D47" t="s">
        <v>6168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6217</v>
      </c>
      <c r="B49">
        <v>27281</v>
      </c>
      <c r="C49" t="s">
        <v>4950</v>
      </c>
      <c r="D49" t="s">
        <v>6168</v>
      </c>
    </row>
    <row r="50" spans="1:4">
      <c r="A50" t="s">
        <v>6218</v>
      </c>
      <c r="B50">
        <v>4187</v>
      </c>
      <c r="C50" t="s">
        <v>6219</v>
      </c>
      <c r="D50" t="s">
        <v>6168</v>
      </c>
    </row>
    <row r="51" spans="1:4">
      <c r="A51" t="s">
        <v>6220</v>
      </c>
      <c r="B51">
        <v>3621</v>
      </c>
      <c r="C51" t="s">
        <v>4950</v>
      </c>
      <c r="D51" t="s">
        <v>6168</v>
      </c>
    </row>
    <row r="52" spans="1:4">
      <c r="A52" t="s">
        <v>6221</v>
      </c>
      <c r="B52">
        <v>22861</v>
      </c>
      <c r="C52" t="s">
        <v>6222</v>
      </c>
      <c r="D52" t="s">
        <v>6168</v>
      </c>
    </row>
    <row r="53" spans="1:4">
      <c r="A53" t="s">
        <v>6223</v>
      </c>
      <c r="B53">
        <v>27282</v>
      </c>
      <c r="D53" t="s">
        <v>6168</v>
      </c>
    </row>
    <row r="54" spans="1:4">
      <c r="A54" t="s">
        <v>6224</v>
      </c>
      <c r="B54">
        <v>4186</v>
      </c>
      <c r="C54" t="s">
        <v>4950</v>
      </c>
      <c r="D54" t="s">
        <v>6168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6225</v>
      </c>
      <c r="B56">
        <v>25440</v>
      </c>
      <c r="C56" t="s">
        <v>6226</v>
      </c>
      <c r="D56" t="s">
        <v>6168</v>
      </c>
    </row>
    <row r="57" spans="1:4">
      <c r="A57" t="s">
        <v>6227</v>
      </c>
      <c r="B57">
        <v>29194</v>
      </c>
      <c r="C57" t="s">
        <v>2374</v>
      </c>
      <c r="D57" t="s">
        <v>6168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6228</v>
      </c>
      <c r="B59">
        <v>24483</v>
      </c>
      <c r="C59" t="s">
        <v>6229</v>
      </c>
      <c r="D59" t="s">
        <v>6230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6231</v>
      </c>
      <c r="B62">
        <v>3783</v>
      </c>
      <c r="C62" t="s">
        <v>6232</v>
      </c>
      <c r="D62" t="s">
        <v>6168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6233</v>
      </c>
      <c r="B64">
        <v>29642</v>
      </c>
      <c r="C64" t="s">
        <v>6234</v>
      </c>
      <c r="D64" t="s">
        <v>6168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6235</v>
      </c>
      <c r="B66">
        <v>4326</v>
      </c>
      <c r="C66" t="s">
        <v>6236</v>
      </c>
      <c r="D66" t="s">
        <v>6168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6237</v>
      </c>
      <c r="B68">
        <v>35913</v>
      </c>
      <c r="C68" t="s">
        <v>4950</v>
      </c>
      <c r="D68" t="s">
        <v>6168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6238</v>
      </c>
      <c r="B70">
        <v>21545</v>
      </c>
      <c r="C70" t="s">
        <v>6239</v>
      </c>
      <c r="D70" t="s">
        <v>6168</v>
      </c>
    </row>
    <row r="71" spans="1:4">
      <c r="A71" t="s">
        <v>6240</v>
      </c>
      <c r="B71">
        <v>39514</v>
      </c>
      <c r="C71" t="s">
        <v>1466</v>
      </c>
      <c r="D71" t="s">
        <v>6241</v>
      </c>
    </row>
    <row r="72" spans="1:4">
      <c r="A72" t="s">
        <v>6242</v>
      </c>
      <c r="B72">
        <v>41524</v>
      </c>
      <c r="D72" t="s">
        <v>6243</v>
      </c>
    </row>
    <row r="73" spans="1:4">
      <c r="A73" t="s">
        <v>6244</v>
      </c>
      <c r="B73">
        <v>35008</v>
      </c>
      <c r="D73" t="s">
        <v>6245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6246</v>
      </c>
      <c r="B76">
        <v>39585</v>
      </c>
      <c r="C76" t="s">
        <v>6247</v>
      </c>
      <c r="D76" t="s">
        <v>6248</v>
      </c>
    </row>
    <row r="77" spans="1:4">
      <c r="A77" t="s">
        <v>6249</v>
      </c>
      <c r="B77">
        <v>31777</v>
      </c>
      <c r="C77" t="s">
        <v>6250</v>
      </c>
      <c r="D77" t="s">
        <v>6168</v>
      </c>
    </row>
    <row r="78" spans="1:4">
      <c r="A78" t="s">
        <v>6251</v>
      </c>
      <c r="B78">
        <v>31781</v>
      </c>
      <c r="C78" t="s">
        <v>2781</v>
      </c>
      <c r="D78" t="s">
        <v>6168</v>
      </c>
    </row>
    <row r="79" spans="1:4">
      <c r="A79" t="s">
        <v>6252</v>
      </c>
      <c r="B79">
        <v>39586</v>
      </c>
      <c r="C79" t="s">
        <v>6247</v>
      </c>
      <c r="D79" t="s">
        <v>6248</v>
      </c>
    </row>
    <row r="80" spans="1:4">
      <c r="A80" t="s">
        <v>6253</v>
      </c>
      <c r="B80">
        <v>31778</v>
      </c>
      <c r="C80" t="s">
        <v>6254</v>
      </c>
      <c r="D80" t="s">
        <v>6168</v>
      </c>
    </row>
    <row r="81" spans="1:4">
      <c r="A81" t="s">
        <v>6255</v>
      </c>
      <c r="B81">
        <v>31779</v>
      </c>
      <c r="C81" t="s">
        <v>6250</v>
      </c>
      <c r="D81" t="s">
        <v>6168</v>
      </c>
    </row>
    <row r="82" spans="1:4">
      <c r="A82" t="s">
        <v>6256</v>
      </c>
      <c r="B82">
        <v>31780</v>
      </c>
      <c r="C82" t="s">
        <v>6257</v>
      </c>
      <c r="D82" t="s">
        <v>6168</v>
      </c>
    </row>
    <row r="83" spans="1:4">
      <c r="A83" t="s">
        <v>6258</v>
      </c>
      <c r="B83">
        <v>3668</v>
      </c>
      <c r="C83" t="s">
        <v>6250</v>
      </c>
      <c r="D83" t="s">
        <v>6168</v>
      </c>
    </row>
    <row r="84" spans="1:4">
      <c r="A84" t="s">
        <v>6259</v>
      </c>
      <c r="B84">
        <v>3669</v>
      </c>
      <c r="C84" t="s">
        <v>6254</v>
      </c>
      <c r="D84" t="s">
        <v>6168</v>
      </c>
    </row>
    <row r="85" spans="1:4">
      <c r="A85" t="s">
        <v>6260</v>
      </c>
      <c r="B85">
        <v>3670</v>
      </c>
      <c r="C85" t="s">
        <v>6250</v>
      </c>
      <c r="D85" t="s">
        <v>6168</v>
      </c>
    </row>
    <row r="86" spans="1:4">
      <c r="A86" t="s">
        <v>6261</v>
      </c>
      <c r="B86">
        <v>3671</v>
      </c>
      <c r="C86" t="s">
        <v>4050</v>
      </c>
      <c r="D86" t="s">
        <v>6168</v>
      </c>
    </row>
    <row r="87" spans="1:4">
      <c r="A87" t="s">
        <v>6262</v>
      </c>
      <c r="B87">
        <v>3672</v>
      </c>
      <c r="C87" t="s">
        <v>6257</v>
      </c>
      <c r="D87" t="s">
        <v>6168</v>
      </c>
    </row>
    <row r="88" spans="1:4">
      <c r="A88" t="s">
        <v>6263</v>
      </c>
      <c r="B88">
        <v>3673</v>
      </c>
      <c r="C88" t="s">
        <v>2781</v>
      </c>
      <c r="D88" t="s">
        <v>6168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6264</v>
      </c>
      <c r="B90">
        <v>43394</v>
      </c>
      <c r="C90" t="s">
        <v>1466</v>
      </c>
      <c r="D90" t="s">
        <v>123</v>
      </c>
    </row>
    <row r="91" spans="1:4">
      <c r="A91" t="s">
        <v>16832</v>
      </c>
      <c r="B91">
        <v>43868</v>
      </c>
      <c r="C91" t="s">
        <v>7336</v>
      </c>
      <c r="D91" t="s">
        <v>6168</v>
      </c>
    </row>
    <row r="92" spans="1:4">
      <c r="A92" t="s">
        <v>6265</v>
      </c>
      <c r="B92">
        <v>42938</v>
      </c>
      <c r="C92" t="s">
        <v>6266</v>
      </c>
      <c r="D92" t="s">
        <v>6267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6268</v>
      </c>
      <c r="B95">
        <v>43634</v>
      </c>
      <c r="C95" t="s">
        <v>6269</v>
      </c>
      <c r="D95" t="s">
        <v>6168</v>
      </c>
    </row>
    <row r="96" spans="1:4">
      <c r="A96" t="s">
        <v>6270</v>
      </c>
      <c r="B96">
        <v>25547</v>
      </c>
      <c r="C96" t="s">
        <v>6271</v>
      </c>
      <c r="D96" t="s">
        <v>6168</v>
      </c>
    </row>
    <row r="97" spans="1:4">
      <c r="A97" t="s">
        <v>6272</v>
      </c>
      <c r="B97">
        <v>378</v>
      </c>
      <c r="C97" t="s">
        <v>6273</v>
      </c>
      <c r="D97" t="s">
        <v>6168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6274</v>
      </c>
      <c r="B99">
        <v>5128</v>
      </c>
      <c r="C99" t="s">
        <v>6275</v>
      </c>
      <c r="D99" t="s">
        <v>6168</v>
      </c>
    </row>
    <row r="100" spans="1:4">
      <c r="A100" t="s">
        <v>6276</v>
      </c>
      <c r="B100">
        <v>25537</v>
      </c>
      <c r="C100" t="s">
        <v>1650</v>
      </c>
      <c r="D100" t="s">
        <v>6168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6277</v>
      </c>
      <c r="B103">
        <v>2946</v>
      </c>
      <c r="C103" t="s">
        <v>6278</v>
      </c>
      <c r="D103" t="s">
        <v>6168</v>
      </c>
    </row>
    <row r="104" spans="1:4">
      <c r="A104" t="s">
        <v>17181</v>
      </c>
      <c r="B104">
        <v>44498</v>
      </c>
      <c r="C104" t="s">
        <v>17182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6279</v>
      </c>
      <c r="B106">
        <v>20356</v>
      </c>
      <c r="C106" t="s">
        <v>6280</v>
      </c>
      <c r="D106" t="s">
        <v>6168</v>
      </c>
    </row>
    <row r="107" spans="1:4">
      <c r="A107" t="s">
        <v>6281</v>
      </c>
      <c r="B107">
        <v>19367</v>
      </c>
      <c r="C107" t="s">
        <v>6282</v>
      </c>
      <c r="D107" t="s">
        <v>6168</v>
      </c>
    </row>
    <row r="108" spans="1:4">
      <c r="A108" t="s">
        <v>6283</v>
      </c>
      <c r="B108">
        <v>19368</v>
      </c>
      <c r="C108" t="s">
        <v>6284</v>
      </c>
      <c r="D108" t="s">
        <v>6168</v>
      </c>
    </row>
    <row r="109" spans="1:4">
      <c r="A109" t="s">
        <v>6285</v>
      </c>
      <c r="B109">
        <v>20357</v>
      </c>
      <c r="C109" t="s">
        <v>6286</v>
      </c>
      <c r="D109" t="s">
        <v>6168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6287</v>
      </c>
      <c r="B111">
        <v>3986</v>
      </c>
      <c r="C111" t="s">
        <v>1466</v>
      </c>
      <c r="D111" t="s">
        <v>6168</v>
      </c>
    </row>
    <row r="112" spans="1:4">
      <c r="A112" t="s">
        <v>6288</v>
      </c>
      <c r="B112">
        <v>3987</v>
      </c>
      <c r="C112" t="s">
        <v>6289</v>
      </c>
      <c r="D112" t="s">
        <v>6168</v>
      </c>
    </row>
    <row r="113" spans="1:4">
      <c r="A113" t="s">
        <v>6290</v>
      </c>
      <c r="B113">
        <v>29644</v>
      </c>
      <c r="C113" t="s">
        <v>6291</v>
      </c>
      <c r="D113" t="s">
        <v>6292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6293</v>
      </c>
      <c r="B115">
        <v>29635</v>
      </c>
      <c r="C115" t="s">
        <v>3374</v>
      </c>
      <c r="D115" t="s">
        <v>6168</v>
      </c>
    </row>
    <row r="116" spans="1:4">
      <c r="A116" t="s">
        <v>6294</v>
      </c>
      <c r="B116">
        <v>33857</v>
      </c>
      <c r="C116" t="s">
        <v>3374</v>
      </c>
      <c r="D116" t="s">
        <v>6168</v>
      </c>
    </row>
    <row r="117" spans="1:4">
      <c r="A117" t="s">
        <v>6295</v>
      </c>
      <c r="B117">
        <v>29631</v>
      </c>
      <c r="C117" t="s">
        <v>3374</v>
      </c>
      <c r="D117" t="s">
        <v>6168</v>
      </c>
    </row>
    <row r="118" spans="1:4">
      <c r="A118" t="s">
        <v>16833</v>
      </c>
      <c r="B118">
        <v>43869</v>
      </c>
      <c r="C118" t="s">
        <v>16834</v>
      </c>
      <c r="D118" t="s">
        <v>6168</v>
      </c>
    </row>
    <row r="119" spans="1:4">
      <c r="A119" t="s">
        <v>17054</v>
      </c>
      <c r="B119">
        <v>44307</v>
      </c>
      <c r="C119" t="s">
        <v>17055</v>
      </c>
      <c r="D119" t="s">
        <v>6168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6296</v>
      </c>
      <c r="B121">
        <v>35656</v>
      </c>
      <c r="C121" t="s">
        <v>6297</v>
      </c>
      <c r="D121" t="s">
        <v>6168</v>
      </c>
    </row>
    <row r="122" spans="1:4">
      <c r="A122" t="s">
        <v>6298</v>
      </c>
      <c r="B122">
        <v>4234</v>
      </c>
      <c r="C122" t="s">
        <v>6299</v>
      </c>
      <c r="D122" t="s">
        <v>6241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17498</v>
      </c>
      <c r="B124">
        <v>45920</v>
      </c>
      <c r="C124" t="s">
        <v>6303</v>
      </c>
      <c r="D124" t="s">
        <v>6168</v>
      </c>
    </row>
    <row r="125" spans="1:4">
      <c r="A125" t="s">
        <v>6300</v>
      </c>
      <c r="B125">
        <v>33858</v>
      </c>
      <c r="C125" t="s">
        <v>6301</v>
      </c>
      <c r="D125" t="s">
        <v>6168</v>
      </c>
    </row>
    <row r="126" spans="1:4">
      <c r="A126" t="s">
        <v>6302</v>
      </c>
      <c r="B126">
        <v>24485</v>
      </c>
      <c r="C126" t="s">
        <v>6303</v>
      </c>
      <c r="D126" t="s">
        <v>6168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6304</v>
      </c>
      <c r="B128">
        <v>21546</v>
      </c>
      <c r="C128" t="s">
        <v>2269</v>
      </c>
      <c r="D128" t="s">
        <v>6305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6306</v>
      </c>
      <c r="B132">
        <v>29749</v>
      </c>
      <c r="C132" t="s">
        <v>6307</v>
      </c>
      <c r="D132" t="s">
        <v>6168</v>
      </c>
    </row>
    <row r="133" spans="1:4">
      <c r="A133" t="s">
        <v>6308</v>
      </c>
      <c r="B133">
        <v>40602</v>
      </c>
      <c r="C133" t="s">
        <v>6309</v>
      </c>
      <c r="D133" t="s">
        <v>6168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6310</v>
      </c>
      <c r="B135">
        <v>25693</v>
      </c>
      <c r="C135" t="s">
        <v>6184</v>
      </c>
      <c r="D135" t="s">
        <v>6168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6311</v>
      </c>
      <c r="B137">
        <v>23265</v>
      </c>
      <c r="D137" t="s">
        <v>6245</v>
      </c>
    </row>
    <row r="138" spans="1:4">
      <c r="A138" t="s">
        <v>17221</v>
      </c>
      <c r="B138">
        <v>45315</v>
      </c>
      <c r="C138" t="s">
        <v>17222</v>
      </c>
      <c r="D138" t="s">
        <v>123</v>
      </c>
    </row>
    <row r="139" spans="1:4">
      <c r="A139" t="s">
        <v>17367</v>
      </c>
      <c r="B139">
        <v>45467</v>
      </c>
      <c r="C139" t="s">
        <v>17368</v>
      </c>
      <c r="D139" t="s">
        <v>6168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6312</v>
      </c>
      <c r="B141">
        <v>35914</v>
      </c>
      <c r="C141" t="s">
        <v>6313</v>
      </c>
      <c r="D141" t="s">
        <v>6314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6315</v>
      </c>
      <c r="B143">
        <v>39532</v>
      </c>
      <c r="C143" t="s">
        <v>4287</v>
      </c>
      <c r="D143" t="s">
        <v>6230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6316</v>
      </c>
      <c r="B147">
        <v>25038</v>
      </c>
      <c r="C147" t="s">
        <v>6317</v>
      </c>
      <c r="D147" t="s">
        <v>6168</v>
      </c>
    </row>
    <row r="148" spans="1:4">
      <c r="A148" t="s">
        <v>6318</v>
      </c>
      <c r="B148">
        <v>35338</v>
      </c>
      <c r="C148" t="s">
        <v>6319</v>
      </c>
      <c r="D148" t="s">
        <v>6168</v>
      </c>
    </row>
    <row r="149" spans="1:4">
      <c r="A149" t="s">
        <v>6320</v>
      </c>
      <c r="B149">
        <v>30124</v>
      </c>
      <c r="C149" t="s">
        <v>6321</v>
      </c>
      <c r="D149" t="s">
        <v>6322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6323</v>
      </c>
      <c r="B151">
        <v>41527</v>
      </c>
      <c r="C151" t="s">
        <v>4857</v>
      </c>
      <c r="D151" t="s">
        <v>6314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6324</v>
      </c>
      <c r="B153">
        <v>1034</v>
      </c>
      <c r="C153" t="s">
        <v>4950</v>
      </c>
      <c r="D153" t="s">
        <v>6168</v>
      </c>
    </row>
    <row r="154" spans="1:4">
      <c r="A154" t="s">
        <v>17223</v>
      </c>
      <c r="B154">
        <v>45316</v>
      </c>
      <c r="C154" t="s">
        <v>17224</v>
      </c>
      <c r="D154" t="s">
        <v>123</v>
      </c>
    </row>
    <row r="155" spans="1:4">
      <c r="A155" t="s">
        <v>17559</v>
      </c>
      <c r="B155">
        <v>46830</v>
      </c>
      <c r="C155" t="s">
        <v>12409</v>
      </c>
      <c r="D155" t="s">
        <v>6168</v>
      </c>
    </row>
    <row r="156" spans="1:4">
      <c r="A156" t="s">
        <v>17423</v>
      </c>
      <c r="B156">
        <v>45712</v>
      </c>
      <c r="C156" t="s">
        <v>8989</v>
      </c>
      <c r="D156" t="s">
        <v>6168</v>
      </c>
    </row>
    <row r="157" spans="1:4">
      <c r="A157" t="s">
        <v>17424</v>
      </c>
      <c r="B157">
        <v>45713</v>
      </c>
      <c r="C157" t="s">
        <v>17425</v>
      </c>
      <c r="D157" t="s">
        <v>6168</v>
      </c>
    </row>
    <row r="158" spans="1:4">
      <c r="A158" t="s">
        <v>17369</v>
      </c>
      <c r="B158">
        <v>45468</v>
      </c>
      <c r="C158" t="s">
        <v>17370</v>
      </c>
      <c r="D158" t="s">
        <v>6168</v>
      </c>
    </row>
    <row r="159" spans="1:4">
      <c r="A159" t="s">
        <v>17560</v>
      </c>
      <c r="B159">
        <v>46831</v>
      </c>
      <c r="C159" t="s">
        <v>6176</v>
      </c>
      <c r="D159" t="s">
        <v>6168</v>
      </c>
    </row>
    <row r="160" spans="1:4">
      <c r="A160" t="s">
        <v>6325</v>
      </c>
      <c r="B160">
        <v>21587</v>
      </c>
      <c r="C160" t="s">
        <v>6326</v>
      </c>
      <c r="D160" t="s">
        <v>6267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6327</v>
      </c>
      <c r="B162">
        <v>35915</v>
      </c>
      <c r="C162" t="s">
        <v>6328</v>
      </c>
      <c r="D162" t="s">
        <v>6168</v>
      </c>
    </row>
    <row r="163" spans="1:4">
      <c r="A163" t="s">
        <v>6329</v>
      </c>
      <c r="B163">
        <v>35916</v>
      </c>
      <c r="C163" t="s">
        <v>6330</v>
      </c>
      <c r="D163" t="s">
        <v>6168</v>
      </c>
    </row>
    <row r="164" spans="1:4">
      <c r="A164" t="s">
        <v>16985</v>
      </c>
      <c r="B164">
        <v>44216</v>
      </c>
      <c r="C164" t="s">
        <v>6216</v>
      </c>
      <c r="D164" t="s">
        <v>6168</v>
      </c>
    </row>
    <row r="165" spans="1:4">
      <c r="A165" t="s">
        <v>6331</v>
      </c>
      <c r="B165">
        <v>35917</v>
      </c>
      <c r="C165" t="s">
        <v>6214</v>
      </c>
      <c r="D165" t="s">
        <v>6168</v>
      </c>
    </row>
    <row r="166" spans="1:4">
      <c r="A166" t="s">
        <v>6332</v>
      </c>
      <c r="B166">
        <v>41993</v>
      </c>
      <c r="C166" t="s">
        <v>6214</v>
      </c>
      <c r="D166" t="s">
        <v>6168</v>
      </c>
    </row>
    <row r="167" spans="1:4">
      <c r="A167" t="s">
        <v>17426</v>
      </c>
      <c r="B167">
        <v>45714</v>
      </c>
      <c r="C167" t="s">
        <v>6330</v>
      </c>
      <c r="D167" t="s">
        <v>6168</v>
      </c>
    </row>
    <row r="168" spans="1:4">
      <c r="A168" t="s">
        <v>6333</v>
      </c>
      <c r="B168">
        <v>41084</v>
      </c>
      <c r="C168" t="s">
        <v>6334</v>
      </c>
      <c r="D168" t="s">
        <v>6168</v>
      </c>
    </row>
    <row r="169" spans="1:4">
      <c r="A169" t="s">
        <v>6335</v>
      </c>
      <c r="B169">
        <v>35919</v>
      </c>
      <c r="C169" t="s">
        <v>6214</v>
      </c>
      <c r="D169" t="s">
        <v>6168</v>
      </c>
    </row>
    <row r="170" spans="1:4">
      <c r="A170" t="s">
        <v>6336</v>
      </c>
      <c r="B170">
        <v>35920</v>
      </c>
      <c r="C170" t="s">
        <v>6337</v>
      </c>
      <c r="D170" t="s">
        <v>6168</v>
      </c>
    </row>
    <row r="171" spans="1:4">
      <c r="A171" t="s">
        <v>6338</v>
      </c>
      <c r="B171">
        <v>35922</v>
      </c>
      <c r="C171" t="s">
        <v>6214</v>
      </c>
      <c r="D171" t="s">
        <v>6168</v>
      </c>
    </row>
    <row r="172" spans="1:4">
      <c r="A172" t="s">
        <v>6339</v>
      </c>
      <c r="B172">
        <v>35924</v>
      </c>
      <c r="C172" t="s">
        <v>6214</v>
      </c>
      <c r="D172" t="s">
        <v>6168</v>
      </c>
    </row>
    <row r="173" spans="1:4">
      <c r="A173" t="s">
        <v>6340</v>
      </c>
      <c r="B173">
        <v>35925</v>
      </c>
      <c r="C173" t="s">
        <v>6214</v>
      </c>
      <c r="D173" t="s">
        <v>6168</v>
      </c>
    </row>
    <row r="174" spans="1:4">
      <c r="A174" t="s">
        <v>6341</v>
      </c>
      <c r="B174">
        <v>35927</v>
      </c>
      <c r="C174" t="s">
        <v>6214</v>
      </c>
      <c r="D174" t="s">
        <v>6168</v>
      </c>
    </row>
    <row r="175" spans="1:4">
      <c r="A175" t="s">
        <v>6342</v>
      </c>
      <c r="B175">
        <v>35928</v>
      </c>
      <c r="C175" t="s">
        <v>6343</v>
      </c>
      <c r="D175" t="s">
        <v>6168</v>
      </c>
    </row>
    <row r="176" spans="1:4">
      <c r="A176" t="s">
        <v>6344</v>
      </c>
      <c r="B176">
        <v>41085</v>
      </c>
      <c r="C176" t="s">
        <v>6343</v>
      </c>
      <c r="D176" t="s">
        <v>6168</v>
      </c>
    </row>
    <row r="177" spans="1:4">
      <c r="A177" t="s">
        <v>6345</v>
      </c>
      <c r="B177">
        <v>41086</v>
      </c>
      <c r="C177" t="s">
        <v>6337</v>
      </c>
      <c r="D177" t="s">
        <v>6168</v>
      </c>
    </row>
    <row r="178" spans="1:4">
      <c r="A178" t="s">
        <v>6346</v>
      </c>
      <c r="B178">
        <v>35929</v>
      </c>
      <c r="C178" t="s">
        <v>6216</v>
      </c>
      <c r="D178" t="s">
        <v>6168</v>
      </c>
    </row>
    <row r="179" spans="1:4">
      <c r="A179" t="s">
        <v>6347</v>
      </c>
      <c r="B179">
        <v>35930</v>
      </c>
      <c r="C179" t="s">
        <v>6214</v>
      </c>
      <c r="D179" t="s">
        <v>6168</v>
      </c>
    </row>
    <row r="180" spans="1:4">
      <c r="A180" t="s">
        <v>6348</v>
      </c>
      <c r="B180">
        <v>35931</v>
      </c>
      <c r="C180" t="s">
        <v>6214</v>
      </c>
      <c r="D180" t="s">
        <v>6168</v>
      </c>
    </row>
    <row r="181" spans="1:4">
      <c r="A181" t="s">
        <v>6349</v>
      </c>
      <c r="B181">
        <v>41087</v>
      </c>
      <c r="C181" t="s">
        <v>6343</v>
      </c>
      <c r="D181" t="s">
        <v>6168</v>
      </c>
    </row>
    <row r="182" spans="1:4">
      <c r="A182" t="s">
        <v>6350</v>
      </c>
      <c r="B182">
        <v>41088</v>
      </c>
      <c r="C182" t="s">
        <v>6343</v>
      </c>
      <c r="D182" t="s">
        <v>6168</v>
      </c>
    </row>
    <row r="183" spans="1:4">
      <c r="A183" t="s">
        <v>6351</v>
      </c>
      <c r="B183">
        <v>43099</v>
      </c>
      <c r="C183" t="s">
        <v>6352</v>
      </c>
      <c r="D183" t="s">
        <v>6168</v>
      </c>
    </row>
    <row r="184" spans="1:4">
      <c r="A184" t="s">
        <v>6353</v>
      </c>
      <c r="B184">
        <v>41089</v>
      </c>
      <c r="C184" t="s">
        <v>6354</v>
      </c>
      <c r="D184" t="s">
        <v>6168</v>
      </c>
    </row>
    <row r="185" spans="1:4">
      <c r="A185" t="s">
        <v>6355</v>
      </c>
      <c r="B185">
        <v>41090</v>
      </c>
      <c r="C185" t="s">
        <v>6356</v>
      </c>
      <c r="D185" t="s">
        <v>6168</v>
      </c>
    </row>
    <row r="186" spans="1:4">
      <c r="A186" t="s">
        <v>6357</v>
      </c>
      <c r="B186">
        <v>35932</v>
      </c>
      <c r="C186" t="s">
        <v>6358</v>
      </c>
      <c r="D186" t="s">
        <v>6168</v>
      </c>
    </row>
    <row r="187" spans="1:4">
      <c r="A187" t="s">
        <v>6359</v>
      </c>
      <c r="B187">
        <v>35926</v>
      </c>
      <c r="C187" t="s">
        <v>4950</v>
      </c>
      <c r="D187" t="s">
        <v>6168</v>
      </c>
    </row>
    <row r="188" spans="1:4">
      <c r="A188" t="s">
        <v>6360</v>
      </c>
      <c r="B188">
        <v>41091</v>
      </c>
      <c r="C188" t="s">
        <v>6214</v>
      </c>
      <c r="D188" t="s">
        <v>6168</v>
      </c>
    </row>
    <row r="189" spans="1:4">
      <c r="A189" t="s">
        <v>6361</v>
      </c>
      <c r="B189">
        <v>41092</v>
      </c>
      <c r="C189" t="s">
        <v>6330</v>
      </c>
      <c r="D189" t="s">
        <v>6168</v>
      </c>
    </row>
    <row r="190" spans="1:4">
      <c r="A190" t="s">
        <v>6362</v>
      </c>
      <c r="B190">
        <v>41093</v>
      </c>
      <c r="C190" t="s">
        <v>5362</v>
      </c>
      <c r="D190" t="s">
        <v>6168</v>
      </c>
    </row>
    <row r="191" spans="1:4">
      <c r="A191" t="s">
        <v>6363</v>
      </c>
      <c r="B191">
        <v>41994</v>
      </c>
      <c r="C191" t="s">
        <v>6330</v>
      </c>
      <c r="D191" t="s">
        <v>6168</v>
      </c>
    </row>
    <row r="192" spans="1:4">
      <c r="A192" t="s">
        <v>6364</v>
      </c>
      <c r="B192">
        <v>35933</v>
      </c>
      <c r="C192" t="s">
        <v>6214</v>
      </c>
      <c r="D192" t="s">
        <v>6168</v>
      </c>
    </row>
    <row r="193" spans="1:4">
      <c r="A193" t="s">
        <v>6365</v>
      </c>
      <c r="B193">
        <v>41995</v>
      </c>
      <c r="C193" t="s">
        <v>6334</v>
      </c>
      <c r="D193" t="s">
        <v>6168</v>
      </c>
    </row>
    <row r="194" spans="1:4">
      <c r="A194" t="s">
        <v>6366</v>
      </c>
      <c r="B194">
        <v>41094</v>
      </c>
      <c r="C194" t="s">
        <v>6214</v>
      </c>
      <c r="D194" t="s">
        <v>6168</v>
      </c>
    </row>
    <row r="195" spans="1:4">
      <c r="A195" t="s">
        <v>6367</v>
      </c>
      <c r="B195">
        <v>41095</v>
      </c>
      <c r="C195" t="s">
        <v>6343</v>
      </c>
      <c r="D195" t="s">
        <v>6168</v>
      </c>
    </row>
    <row r="196" spans="1:4">
      <c r="A196" t="s">
        <v>6368</v>
      </c>
      <c r="B196">
        <v>35934</v>
      </c>
      <c r="C196" t="s">
        <v>6214</v>
      </c>
      <c r="D196" t="s">
        <v>6168</v>
      </c>
    </row>
    <row r="197" spans="1:4">
      <c r="A197" t="s">
        <v>6369</v>
      </c>
      <c r="B197">
        <v>35935</v>
      </c>
      <c r="C197" t="s">
        <v>6214</v>
      </c>
      <c r="D197" t="s">
        <v>6168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6370</v>
      </c>
      <c r="B201">
        <v>21548</v>
      </c>
      <c r="C201" t="s">
        <v>6371</v>
      </c>
      <c r="D201" t="s">
        <v>6168</v>
      </c>
    </row>
    <row r="202" spans="1:4">
      <c r="A202" t="s">
        <v>6372</v>
      </c>
      <c r="B202">
        <v>21549</v>
      </c>
      <c r="C202" t="s">
        <v>6373</v>
      </c>
      <c r="D202" t="s">
        <v>6168</v>
      </c>
    </row>
    <row r="203" spans="1:4">
      <c r="A203" t="s">
        <v>6374</v>
      </c>
      <c r="B203">
        <v>31261</v>
      </c>
      <c r="C203" t="s">
        <v>6375</v>
      </c>
      <c r="D203" t="s">
        <v>6168</v>
      </c>
    </row>
    <row r="204" spans="1:4">
      <c r="A204" t="s">
        <v>6376</v>
      </c>
      <c r="B204">
        <v>35297</v>
      </c>
      <c r="C204" t="s">
        <v>6377</v>
      </c>
      <c r="D204" t="s">
        <v>6168</v>
      </c>
    </row>
    <row r="205" spans="1:4">
      <c r="A205" t="s">
        <v>6378</v>
      </c>
      <c r="B205">
        <v>42730</v>
      </c>
      <c r="C205" t="s">
        <v>6379</v>
      </c>
      <c r="D205" t="s">
        <v>6168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6380</v>
      </c>
      <c r="B207">
        <v>24015</v>
      </c>
      <c r="C207" t="s">
        <v>4950</v>
      </c>
      <c r="D207" t="s">
        <v>6168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6381</v>
      </c>
      <c r="B209">
        <v>21550</v>
      </c>
      <c r="D209" t="s">
        <v>6314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6382</v>
      </c>
      <c r="B211">
        <v>25040</v>
      </c>
      <c r="C211" t="s">
        <v>4950</v>
      </c>
      <c r="D211" t="s">
        <v>6168</v>
      </c>
    </row>
    <row r="212" spans="1:4">
      <c r="A212" t="s">
        <v>6383</v>
      </c>
      <c r="B212">
        <v>38742</v>
      </c>
      <c r="C212" t="s">
        <v>6384</v>
      </c>
      <c r="D212" t="s">
        <v>6168</v>
      </c>
    </row>
    <row r="213" spans="1:4">
      <c r="A213" t="s">
        <v>6385</v>
      </c>
      <c r="B213">
        <v>23258</v>
      </c>
      <c r="C213" t="s">
        <v>3201</v>
      </c>
      <c r="D213" t="s">
        <v>6245</v>
      </c>
    </row>
    <row r="214" spans="1:4">
      <c r="A214" t="s">
        <v>6386</v>
      </c>
      <c r="B214">
        <v>35748</v>
      </c>
      <c r="D214" t="s">
        <v>6314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16835</v>
      </c>
      <c r="B217">
        <v>43870</v>
      </c>
      <c r="C217" t="s">
        <v>16836</v>
      </c>
      <c r="D217" t="s">
        <v>6168</v>
      </c>
    </row>
    <row r="218" spans="1:4">
      <c r="A218" t="s">
        <v>6387</v>
      </c>
      <c r="B218">
        <v>30742</v>
      </c>
      <c r="C218" t="s">
        <v>6388</v>
      </c>
      <c r="D218" t="s">
        <v>6168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6389</v>
      </c>
      <c r="B220">
        <v>29618</v>
      </c>
      <c r="C220" t="s">
        <v>6390</v>
      </c>
      <c r="D220" t="s">
        <v>6168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6391</v>
      </c>
      <c r="B222">
        <v>29467</v>
      </c>
      <c r="C222" t="s">
        <v>6392</v>
      </c>
      <c r="D222" t="s">
        <v>6168</v>
      </c>
    </row>
    <row r="223" spans="1:4">
      <c r="A223" t="s">
        <v>6393</v>
      </c>
      <c r="B223">
        <v>42926</v>
      </c>
      <c r="C223" t="s">
        <v>6394</v>
      </c>
      <c r="D223" t="s">
        <v>6168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6395</v>
      </c>
      <c r="B227">
        <v>21552</v>
      </c>
      <c r="C227" t="s">
        <v>6396</v>
      </c>
      <c r="D227" t="s">
        <v>6168</v>
      </c>
    </row>
    <row r="228" spans="1:4">
      <c r="A228" t="s">
        <v>6397</v>
      </c>
      <c r="B228">
        <v>9820</v>
      </c>
      <c r="C228" t="s">
        <v>4800</v>
      </c>
      <c r="D228" t="s">
        <v>6230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6398</v>
      </c>
      <c r="B230">
        <v>2373</v>
      </c>
      <c r="C230" t="s">
        <v>6399</v>
      </c>
      <c r="D230" t="s">
        <v>6168</v>
      </c>
    </row>
    <row r="231" spans="1:4">
      <c r="A231" t="s">
        <v>6400</v>
      </c>
      <c r="B231">
        <v>2374</v>
      </c>
      <c r="C231" t="s">
        <v>6401</v>
      </c>
      <c r="D231" t="s">
        <v>6168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6402</v>
      </c>
      <c r="B233">
        <v>21554</v>
      </c>
      <c r="C233" t="s">
        <v>6403</v>
      </c>
      <c r="D233" t="s">
        <v>6168</v>
      </c>
    </row>
    <row r="234" spans="1:4">
      <c r="A234" t="s">
        <v>6404</v>
      </c>
      <c r="B234">
        <v>21555</v>
      </c>
      <c r="C234" t="s">
        <v>6405</v>
      </c>
      <c r="D234" t="s">
        <v>6168</v>
      </c>
    </row>
    <row r="235" spans="1:4">
      <c r="A235" t="s">
        <v>6406</v>
      </c>
      <c r="B235">
        <v>21556</v>
      </c>
      <c r="C235" t="s">
        <v>6407</v>
      </c>
      <c r="D235" t="s">
        <v>6168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6408</v>
      </c>
      <c r="B237">
        <v>30533</v>
      </c>
      <c r="C237" t="s">
        <v>6409</v>
      </c>
      <c r="D237" t="s">
        <v>6168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6410</v>
      </c>
      <c r="B241">
        <v>43397</v>
      </c>
      <c r="C241" t="s">
        <v>5134</v>
      </c>
      <c r="D241" t="s">
        <v>134</v>
      </c>
    </row>
    <row r="242" spans="1:4">
      <c r="A242" t="s">
        <v>17225</v>
      </c>
      <c r="B242">
        <v>45318</v>
      </c>
      <c r="C242" t="s">
        <v>5982</v>
      </c>
      <c r="D242" t="s">
        <v>6267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6411</v>
      </c>
      <c r="B244">
        <v>27366</v>
      </c>
      <c r="C244" t="s">
        <v>6412</v>
      </c>
      <c r="D244" t="s">
        <v>6168</v>
      </c>
    </row>
    <row r="245" spans="1:4">
      <c r="A245" t="s">
        <v>6413</v>
      </c>
      <c r="B245">
        <v>21558</v>
      </c>
      <c r="C245" t="s">
        <v>1903</v>
      </c>
      <c r="D245" t="s">
        <v>6168</v>
      </c>
    </row>
    <row r="246" spans="1:4">
      <c r="A246" t="s">
        <v>6414</v>
      </c>
      <c r="B246">
        <v>25293</v>
      </c>
      <c r="D246" t="s">
        <v>6292</v>
      </c>
    </row>
    <row r="247" spans="1:4">
      <c r="A247" t="s">
        <v>6415</v>
      </c>
      <c r="B247">
        <v>24016</v>
      </c>
      <c r="C247" t="s">
        <v>1206</v>
      </c>
      <c r="D247" t="s">
        <v>6314</v>
      </c>
    </row>
    <row r="248" spans="1:4">
      <c r="A248" t="s">
        <v>16764</v>
      </c>
      <c r="B248">
        <v>43333</v>
      </c>
      <c r="C248" t="s">
        <v>16765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6416</v>
      </c>
      <c r="B250">
        <v>27388</v>
      </c>
      <c r="C250" t="s">
        <v>6417</v>
      </c>
      <c r="D250" t="s">
        <v>6168</v>
      </c>
    </row>
    <row r="251" spans="1:4">
      <c r="A251" t="s">
        <v>6418</v>
      </c>
      <c r="B251">
        <v>21559</v>
      </c>
      <c r="C251" t="s">
        <v>6419</v>
      </c>
      <c r="D251" t="s">
        <v>6168</v>
      </c>
    </row>
    <row r="252" spans="1:4">
      <c r="A252" t="s">
        <v>6420</v>
      </c>
      <c r="B252">
        <v>4560</v>
      </c>
      <c r="C252" t="s">
        <v>4950</v>
      </c>
      <c r="D252" t="s">
        <v>6168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6421</v>
      </c>
      <c r="B254">
        <v>4463</v>
      </c>
      <c r="C254" t="s">
        <v>6422</v>
      </c>
      <c r="D254" t="s">
        <v>6168</v>
      </c>
    </row>
    <row r="255" spans="1:4">
      <c r="A255" t="s">
        <v>6423</v>
      </c>
      <c r="B255">
        <v>30767</v>
      </c>
      <c r="C255" t="s">
        <v>6424</v>
      </c>
      <c r="D255" t="s">
        <v>6168</v>
      </c>
    </row>
    <row r="256" spans="1:4">
      <c r="A256" t="s">
        <v>6425</v>
      </c>
      <c r="B256">
        <v>4464</v>
      </c>
      <c r="C256" t="s">
        <v>4181</v>
      </c>
      <c r="D256" t="s">
        <v>6168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6426</v>
      </c>
      <c r="B258">
        <v>27259</v>
      </c>
      <c r="C258" t="s">
        <v>1903</v>
      </c>
      <c r="D258" t="s">
        <v>6168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6427</v>
      </c>
      <c r="B260">
        <v>21561</v>
      </c>
      <c r="C260" t="s">
        <v>6428</v>
      </c>
      <c r="D260" t="s">
        <v>6168</v>
      </c>
    </row>
    <row r="261" spans="1:4">
      <c r="A261" t="s">
        <v>6429</v>
      </c>
      <c r="B261">
        <v>21562</v>
      </c>
      <c r="C261" t="s">
        <v>6430</v>
      </c>
      <c r="D261" t="s">
        <v>6168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6431</v>
      </c>
      <c r="B263">
        <v>2630</v>
      </c>
      <c r="C263" t="s">
        <v>6432</v>
      </c>
      <c r="D263" t="s">
        <v>6168</v>
      </c>
    </row>
    <row r="264" spans="1:4">
      <c r="A264" t="s">
        <v>6433</v>
      </c>
      <c r="B264">
        <v>2631</v>
      </c>
      <c r="C264" t="s">
        <v>6434</v>
      </c>
      <c r="D264" t="s">
        <v>6168</v>
      </c>
    </row>
    <row r="265" spans="1:4">
      <c r="A265" t="s">
        <v>6435</v>
      </c>
      <c r="B265">
        <v>2632</v>
      </c>
      <c r="C265" t="s">
        <v>6436</v>
      </c>
      <c r="D265" t="s">
        <v>6168</v>
      </c>
    </row>
    <row r="266" spans="1:4">
      <c r="A266" t="s">
        <v>6437</v>
      </c>
      <c r="B266">
        <v>2633</v>
      </c>
      <c r="C266" t="s">
        <v>4950</v>
      </c>
      <c r="D266" t="s">
        <v>6168</v>
      </c>
    </row>
    <row r="267" spans="1:4">
      <c r="A267" t="s">
        <v>6438</v>
      </c>
      <c r="B267">
        <v>31799</v>
      </c>
      <c r="C267" t="s">
        <v>6439</v>
      </c>
      <c r="D267" t="s">
        <v>6168</v>
      </c>
    </row>
    <row r="268" spans="1:4">
      <c r="A268" t="s">
        <v>6440</v>
      </c>
      <c r="B268">
        <v>2634</v>
      </c>
      <c r="C268" t="s">
        <v>6441</v>
      </c>
      <c r="D268" t="s">
        <v>6168</v>
      </c>
    </row>
    <row r="269" spans="1:4">
      <c r="A269" t="s">
        <v>6442</v>
      </c>
      <c r="B269">
        <v>2635</v>
      </c>
      <c r="C269" t="s">
        <v>4950</v>
      </c>
      <c r="D269" t="s">
        <v>6168</v>
      </c>
    </row>
    <row r="270" spans="1:4">
      <c r="A270" t="s">
        <v>6443</v>
      </c>
      <c r="B270">
        <v>2636</v>
      </c>
      <c r="C270" t="s">
        <v>6444</v>
      </c>
      <c r="D270" t="s">
        <v>6168</v>
      </c>
    </row>
    <row r="271" spans="1:4">
      <c r="A271" t="s">
        <v>6445</v>
      </c>
      <c r="B271">
        <v>2637</v>
      </c>
      <c r="C271" t="s">
        <v>6446</v>
      </c>
      <c r="D271" t="s">
        <v>6168</v>
      </c>
    </row>
    <row r="272" spans="1:4">
      <c r="A272" t="s">
        <v>6447</v>
      </c>
      <c r="B272">
        <v>2638</v>
      </c>
      <c r="C272" t="s">
        <v>6448</v>
      </c>
      <c r="D272" t="s">
        <v>6449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6450</v>
      </c>
      <c r="B274">
        <v>21563</v>
      </c>
      <c r="C274" t="s">
        <v>409</v>
      </c>
      <c r="D274" t="s">
        <v>6267</v>
      </c>
    </row>
    <row r="275" spans="1:4">
      <c r="A275" t="s">
        <v>6451</v>
      </c>
      <c r="B275">
        <v>21564</v>
      </c>
      <c r="C275" t="s">
        <v>432</v>
      </c>
      <c r="D275" t="s">
        <v>6305</v>
      </c>
    </row>
    <row r="276" spans="1:4">
      <c r="A276" t="s">
        <v>6452</v>
      </c>
      <c r="B276">
        <v>21565</v>
      </c>
      <c r="D276" t="s">
        <v>6314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6453</v>
      </c>
      <c r="B278">
        <v>30901</v>
      </c>
      <c r="C278" t="s">
        <v>4950</v>
      </c>
      <c r="D278" t="s">
        <v>6168</v>
      </c>
    </row>
    <row r="279" spans="1:4">
      <c r="A279" t="s">
        <v>6454</v>
      </c>
      <c r="B279">
        <v>43398</v>
      </c>
      <c r="C279" t="s">
        <v>6455</v>
      </c>
      <c r="D279" t="s">
        <v>6168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6456</v>
      </c>
      <c r="B281">
        <v>30545</v>
      </c>
      <c r="C281" t="s">
        <v>5633</v>
      </c>
      <c r="D281" t="s">
        <v>6314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6457</v>
      </c>
      <c r="B284">
        <v>32837</v>
      </c>
      <c r="C284" t="s">
        <v>6458</v>
      </c>
      <c r="D284" t="s">
        <v>6168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6459</v>
      </c>
      <c r="B286">
        <v>3676</v>
      </c>
      <c r="C286" t="s">
        <v>6458</v>
      </c>
      <c r="D286" t="s">
        <v>6168</v>
      </c>
    </row>
    <row r="287" spans="1:4">
      <c r="A287" t="s">
        <v>16714</v>
      </c>
      <c r="B287">
        <v>43302</v>
      </c>
      <c r="C287" t="s">
        <v>16715</v>
      </c>
      <c r="D287" t="s">
        <v>123</v>
      </c>
    </row>
    <row r="288" spans="1:4">
      <c r="A288" t="s">
        <v>16771</v>
      </c>
      <c r="B288">
        <v>43337</v>
      </c>
      <c r="C288" t="s">
        <v>16711</v>
      </c>
      <c r="D288" t="s">
        <v>6168</v>
      </c>
    </row>
    <row r="289" spans="1:4">
      <c r="A289" t="s">
        <v>16743</v>
      </c>
      <c r="B289">
        <v>43319</v>
      </c>
      <c r="C289" t="s">
        <v>16744</v>
      </c>
      <c r="D289" t="s">
        <v>123</v>
      </c>
    </row>
    <row r="290" spans="1:4">
      <c r="A290" t="s">
        <v>16785</v>
      </c>
      <c r="B290">
        <v>43346</v>
      </c>
      <c r="C290" t="s">
        <v>16786</v>
      </c>
      <c r="D290" t="s">
        <v>6168</v>
      </c>
    </row>
    <row r="291" spans="1:4">
      <c r="A291" t="s">
        <v>6460</v>
      </c>
      <c r="B291">
        <v>32506</v>
      </c>
      <c r="C291" t="s">
        <v>6461</v>
      </c>
      <c r="D291" t="s">
        <v>6168</v>
      </c>
    </row>
    <row r="292" spans="1:4">
      <c r="A292" t="s">
        <v>17100</v>
      </c>
      <c r="B292">
        <v>44352</v>
      </c>
      <c r="C292" t="s">
        <v>17101</v>
      </c>
      <c r="D292" t="s">
        <v>123</v>
      </c>
    </row>
    <row r="293" spans="1:4">
      <c r="A293" t="s">
        <v>6462</v>
      </c>
      <c r="B293">
        <v>20571</v>
      </c>
      <c r="C293" t="s">
        <v>2269</v>
      </c>
      <c r="D293" t="s">
        <v>6305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6463</v>
      </c>
      <c r="B295">
        <v>2503</v>
      </c>
      <c r="C295" t="s">
        <v>6464</v>
      </c>
      <c r="D295" t="s">
        <v>6168</v>
      </c>
    </row>
    <row r="296" spans="1:4">
      <c r="A296" t="s">
        <v>6465</v>
      </c>
      <c r="B296">
        <v>2502</v>
      </c>
      <c r="C296" t="s">
        <v>6219</v>
      </c>
      <c r="D296" t="s">
        <v>6168</v>
      </c>
    </row>
    <row r="297" spans="1:4">
      <c r="A297" t="s">
        <v>6466</v>
      </c>
      <c r="B297">
        <v>37498</v>
      </c>
      <c r="C297" t="s">
        <v>6467</v>
      </c>
      <c r="D297" t="s">
        <v>6168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6468</v>
      </c>
      <c r="B299">
        <v>4505</v>
      </c>
      <c r="C299" t="s">
        <v>6469</v>
      </c>
      <c r="D299" t="s">
        <v>6168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6470</v>
      </c>
      <c r="B302">
        <v>9812</v>
      </c>
      <c r="D302" t="s">
        <v>6267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6471</v>
      </c>
      <c r="B304">
        <v>2271</v>
      </c>
      <c r="C304" t="s">
        <v>1475</v>
      </c>
      <c r="D304" t="s">
        <v>6168</v>
      </c>
    </row>
    <row r="305" spans="1:4">
      <c r="A305" t="s">
        <v>6472</v>
      </c>
      <c r="B305">
        <v>2267</v>
      </c>
      <c r="C305" t="s">
        <v>6473</v>
      </c>
      <c r="D305" t="s">
        <v>6168</v>
      </c>
    </row>
    <row r="306" spans="1:4">
      <c r="A306" t="s">
        <v>6474</v>
      </c>
      <c r="B306">
        <v>2268</v>
      </c>
      <c r="C306" t="s">
        <v>6475</v>
      </c>
      <c r="D306" t="s">
        <v>6168</v>
      </c>
    </row>
    <row r="307" spans="1:4">
      <c r="A307" t="s">
        <v>6476</v>
      </c>
      <c r="B307">
        <v>2269</v>
      </c>
      <c r="C307" t="s">
        <v>2018</v>
      </c>
      <c r="D307" t="s">
        <v>6168</v>
      </c>
    </row>
    <row r="308" spans="1:4">
      <c r="A308" t="s">
        <v>17422</v>
      </c>
      <c r="B308">
        <v>45514</v>
      </c>
      <c r="C308" t="s">
        <v>2156</v>
      </c>
      <c r="D308" t="s">
        <v>6168</v>
      </c>
    </row>
    <row r="309" spans="1:4">
      <c r="A309" t="s">
        <v>6477</v>
      </c>
      <c r="B309">
        <v>2270</v>
      </c>
      <c r="C309" t="s">
        <v>1421</v>
      </c>
      <c r="D309" t="s">
        <v>6168</v>
      </c>
    </row>
    <row r="310" spans="1:4">
      <c r="A310" t="s">
        <v>6478</v>
      </c>
      <c r="B310">
        <v>2272</v>
      </c>
      <c r="C310" t="s">
        <v>1475</v>
      </c>
      <c r="D310" t="s">
        <v>6168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17427</v>
      </c>
      <c r="B312">
        <v>45716</v>
      </c>
      <c r="C312" t="s">
        <v>1189</v>
      </c>
      <c r="D312" t="s">
        <v>123</v>
      </c>
    </row>
    <row r="313" spans="1:4">
      <c r="A313" t="s">
        <v>17499</v>
      </c>
      <c r="B313">
        <v>45922</v>
      </c>
      <c r="C313" t="s">
        <v>4950</v>
      </c>
      <c r="D313" t="s">
        <v>6168</v>
      </c>
    </row>
    <row r="314" spans="1:4">
      <c r="A314" t="s">
        <v>17500</v>
      </c>
      <c r="B314">
        <v>45923</v>
      </c>
      <c r="C314" t="s">
        <v>17501</v>
      </c>
      <c r="D314" t="s">
        <v>6168</v>
      </c>
    </row>
    <row r="315" spans="1:4">
      <c r="A315" t="s">
        <v>17502</v>
      </c>
      <c r="B315">
        <v>45924</v>
      </c>
      <c r="C315" t="s">
        <v>5870</v>
      </c>
      <c r="D315" t="s">
        <v>6168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6479</v>
      </c>
      <c r="B318">
        <v>4467</v>
      </c>
      <c r="C318" t="s">
        <v>1084</v>
      </c>
      <c r="D318" t="s">
        <v>6168</v>
      </c>
    </row>
    <row r="319" spans="1:4">
      <c r="A319" t="s">
        <v>6480</v>
      </c>
      <c r="B319">
        <v>40600</v>
      </c>
      <c r="C319" t="s">
        <v>6481</v>
      </c>
      <c r="D319" t="s">
        <v>6245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6482</v>
      </c>
      <c r="B321">
        <v>21567</v>
      </c>
      <c r="C321" t="s">
        <v>6483</v>
      </c>
      <c r="D321" t="s">
        <v>6168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6484</v>
      </c>
      <c r="B323">
        <v>22863</v>
      </c>
      <c r="C323" t="s">
        <v>6394</v>
      </c>
      <c r="D323" t="s">
        <v>6168</v>
      </c>
    </row>
    <row r="324" spans="1:4">
      <c r="A324" t="s">
        <v>6485</v>
      </c>
      <c r="B324">
        <v>4528</v>
      </c>
      <c r="C324" t="s">
        <v>164</v>
      </c>
      <c r="D324" t="s">
        <v>6168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6486</v>
      </c>
      <c r="B326">
        <v>30128</v>
      </c>
      <c r="C326" t="s">
        <v>6487</v>
      </c>
      <c r="D326" t="s">
        <v>6168</v>
      </c>
    </row>
    <row r="327" spans="1:4">
      <c r="A327" t="s">
        <v>6488</v>
      </c>
      <c r="B327">
        <v>25043</v>
      </c>
      <c r="C327" t="s">
        <v>6489</v>
      </c>
      <c r="D327" t="s">
        <v>6168</v>
      </c>
    </row>
    <row r="328" spans="1:4">
      <c r="A328" t="s">
        <v>6490</v>
      </c>
      <c r="B328">
        <v>35218</v>
      </c>
      <c r="C328" t="s">
        <v>6491</v>
      </c>
      <c r="D328" t="s">
        <v>6168</v>
      </c>
    </row>
    <row r="329" spans="1:4">
      <c r="A329" t="s">
        <v>6492</v>
      </c>
      <c r="B329">
        <v>30129</v>
      </c>
      <c r="C329" t="s">
        <v>6493</v>
      </c>
      <c r="D329" t="s">
        <v>6168</v>
      </c>
    </row>
    <row r="330" spans="1:4">
      <c r="A330" t="s">
        <v>6494</v>
      </c>
      <c r="B330">
        <v>35936</v>
      </c>
      <c r="C330" t="s">
        <v>6495</v>
      </c>
      <c r="D330" t="s">
        <v>6168</v>
      </c>
    </row>
    <row r="331" spans="1:4">
      <c r="A331" t="s">
        <v>6496</v>
      </c>
      <c r="B331">
        <v>30130</v>
      </c>
      <c r="C331" t="s">
        <v>6497</v>
      </c>
      <c r="D331" t="s">
        <v>6168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6498</v>
      </c>
      <c r="B333">
        <v>30131</v>
      </c>
      <c r="C333" t="s">
        <v>4368</v>
      </c>
      <c r="D333" t="s">
        <v>6168</v>
      </c>
    </row>
    <row r="334" spans="1:4">
      <c r="A334" t="s">
        <v>6499</v>
      </c>
      <c r="B334">
        <v>42965</v>
      </c>
      <c r="C334" t="s">
        <v>172</v>
      </c>
      <c r="D334" t="s">
        <v>6168</v>
      </c>
    </row>
    <row r="335" spans="1:4">
      <c r="A335" t="s">
        <v>6500</v>
      </c>
      <c r="B335">
        <v>30132</v>
      </c>
      <c r="C335" t="s">
        <v>6501</v>
      </c>
      <c r="D335" t="s">
        <v>6168</v>
      </c>
    </row>
    <row r="336" spans="1:4">
      <c r="A336" t="s">
        <v>6502</v>
      </c>
      <c r="B336">
        <v>29763</v>
      </c>
      <c r="C336" t="s">
        <v>6503</v>
      </c>
      <c r="D336" t="s">
        <v>6168</v>
      </c>
    </row>
    <row r="337" spans="1:4">
      <c r="A337" t="s">
        <v>6504</v>
      </c>
      <c r="B337">
        <v>35115</v>
      </c>
      <c r="C337" t="s">
        <v>4308</v>
      </c>
      <c r="D337" t="s">
        <v>6168</v>
      </c>
    </row>
    <row r="338" spans="1:4">
      <c r="A338" t="s">
        <v>6505</v>
      </c>
      <c r="B338">
        <v>29650</v>
      </c>
      <c r="C338" t="s">
        <v>6506</v>
      </c>
      <c r="D338" t="s">
        <v>6168</v>
      </c>
    </row>
    <row r="339" spans="1:4">
      <c r="A339" t="s">
        <v>6507</v>
      </c>
      <c r="B339">
        <v>29761</v>
      </c>
      <c r="C339" t="s">
        <v>6508</v>
      </c>
      <c r="D339" t="s">
        <v>6168</v>
      </c>
    </row>
    <row r="340" spans="1:4">
      <c r="A340" t="s">
        <v>6509</v>
      </c>
      <c r="B340">
        <v>29759</v>
      </c>
      <c r="C340" t="s">
        <v>2374</v>
      </c>
      <c r="D340" t="s">
        <v>6168</v>
      </c>
    </row>
    <row r="341" spans="1:4">
      <c r="A341" t="s">
        <v>6510</v>
      </c>
      <c r="B341">
        <v>43399</v>
      </c>
      <c r="C341" t="s">
        <v>6508</v>
      </c>
      <c r="D341" t="s">
        <v>6168</v>
      </c>
    </row>
    <row r="342" spans="1:4">
      <c r="A342" t="s">
        <v>6511</v>
      </c>
      <c r="B342">
        <v>30133</v>
      </c>
      <c r="C342" t="s">
        <v>6512</v>
      </c>
      <c r="D342" t="s">
        <v>6168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6513</v>
      </c>
      <c r="B346">
        <v>2289</v>
      </c>
      <c r="C346" t="s">
        <v>6475</v>
      </c>
      <c r="D346" t="s">
        <v>6168</v>
      </c>
    </row>
    <row r="347" spans="1:4">
      <c r="A347" t="s">
        <v>6514</v>
      </c>
      <c r="B347">
        <v>2290</v>
      </c>
      <c r="C347" t="s">
        <v>1421</v>
      </c>
      <c r="D347" t="s">
        <v>6168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6515</v>
      </c>
      <c r="B349">
        <v>21571</v>
      </c>
      <c r="D349" t="s">
        <v>6267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6516</v>
      </c>
      <c r="B353">
        <v>3086</v>
      </c>
      <c r="C353" t="s">
        <v>6517</v>
      </c>
      <c r="D353" t="s">
        <v>6168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6518</v>
      </c>
      <c r="B355">
        <v>2329</v>
      </c>
      <c r="C355" t="s">
        <v>6519</v>
      </c>
      <c r="D355" t="s">
        <v>6168</v>
      </c>
    </row>
    <row r="356" spans="1:4">
      <c r="A356" t="s">
        <v>6520</v>
      </c>
      <c r="B356">
        <v>2330</v>
      </c>
      <c r="C356" t="s">
        <v>6521</v>
      </c>
      <c r="D356" t="s">
        <v>6168</v>
      </c>
    </row>
    <row r="357" spans="1:4">
      <c r="A357" t="s">
        <v>6522</v>
      </c>
      <c r="B357">
        <v>2331</v>
      </c>
      <c r="C357" t="s">
        <v>6523</v>
      </c>
      <c r="D357" t="s">
        <v>6168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6524</v>
      </c>
      <c r="B359">
        <v>29724</v>
      </c>
      <c r="C359" t="s">
        <v>6525</v>
      </c>
      <c r="D359" t="s">
        <v>6168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6526</v>
      </c>
      <c r="B362">
        <v>35285</v>
      </c>
      <c r="C362" t="s">
        <v>5535</v>
      </c>
      <c r="D362" t="s">
        <v>6267</v>
      </c>
    </row>
    <row r="363" spans="1:4">
      <c r="A363" t="s">
        <v>17226</v>
      </c>
      <c r="B363">
        <v>45319</v>
      </c>
      <c r="C363" t="s">
        <v>5535</v>
      </c>
      <c r="D363" t="s">
        <v>123</v>
      </c>
    </row>
    <row r="364" spans="1:4">
      <c r="A364" t="s">
        <v>17371</v>
      </c>
      <c r="B364">
        <v>45470</v>
      </c>
      <c r="C364" t="s">
        <v>17372</v>
      </c>
      <c r="D364" t="s">
        <v>6168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6527</v>
      </c>
      <c r="B366">
        <v>24017</v>
      </c>
      <c r="C366" t="s">
        <v>6528</v>
      </c>
      <c r="D366" t="s">
        <v>6168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6529</v>
      </c>
      <c r="B368">
        <v>39457</v>
      </c>
      <c r="C368" t="s">
        <v>958</v>
      </c>
      <c r="D368" t="s">
        <v>6314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6530</v>
      </c>
      <c r="B370">
        <v>30807</v>
      </c>
      <c r="C370" t="s">
        <v>4312</v>
      </c>
      <c r="D370" t="s">
        <v>6168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6531</v>
      </c>
      <c r="B372">
        <v>32287</v>
      </c>
      <c r="C372" t="s">
        <v>4812</v>
      </c>
      <c r="D372" t="s">
        <v>6168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6532</v>
      </c>
      <c r="B374">
        <v>31144</v>
      </c>
      <c r="C374" t="s">
        <v>6533</v>
      </c>
      <c r="D374" t="s">
        <v>6168</v>
      </c>
    </row>
    <row r="375" spans="1:4">
      <c r="A375" t="s">
        <v>6534</v>
      </c>
      <c r="B375">
        <v>41791</v>
      </c>
      <c r="C375" t="s">
        <v>6535</v>
      </c>
      <c r="D375" t="s">
        <v>6168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6536</v>
      </c>
      <c r="B378">
        <v>39598</v>
      </c>
      <c r="C378" t="s">
        <v>288</v>
      </c>
      <c r="D378" t="s">
        <v>6267</v>
      </c>
    </row>
    <row r="379" spans="1:4">
      <c r="A379" t="s">
        <v>6537</v>
      </c>
      <c r="B379">
        <v>24495</v>
      </c>
      <c r="C379" t="s">
        <v>2500</v>
      </c>
      <c r="D379" t="s">
        <v>6245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6538</v>
      </c>
      <c r="B381">
        <v>39617</v>
      </c>
      <c r="C381" t="s">
        <v>6539</v>
      </c>
      <c r="D381" t="s">
        <v>6230</v>
      </c>
    </row>
    <row r="382" spans="1:4">
      <c r="A382" t="s">
        <v>6540</v>
      </c>
      <c r="B382">
        <v>40599</v>
      </c>
      <c r="C382" t="s">
        <v>1176</v>
      </c>
      <c r="D382" t="s">
        <v>6292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6541</v>
      </c>
      <c r="B384">
        <v>29719</v>
      </c>
      <c r="C384" t="s">
        <v>6542</v>
      </c>
      <c r="D384" t="s">
        <v>6168</v>
      </c>
    </row>
    <row r="385" spans="1:4">
      <c r="A385" t="s">
        <v>6543</v>
      </c>
      <c r="B385">
        <v>29730</v>
      </c>
      <c r="C385" t="s">
        <v>6533</v>
      </c>
      <c r="D385" t="s">
        <v>6168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6544</v>
      </c>
      <c r="B387">
        <v>25047</v>
      </c>
      <c r="D387" t="s">
        <v>6230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6545</v>
      </c>
      <c r="B389">
        <v>41996</v>
      </c>
      <c r="C389" t="s">
        <v>6546</v>
      </c>
      <c r="D389" t="s">
        <v>6168</v>
      </c>
    </row>
    <row r="390" spans="1:4">
      <c r="A390" t="s">
        <v>6547</v>
      </c>
      <c r="B390">
        <v>29743</v>
      </c>
      <c r="C390" t="s">
        <v>6548</v>
      </c>
      <c r="D390" t="s">
        <v>6168</v>
      </c>
    </row>
    <row r="391" spans="1:4">
      <c r="A391" t="s">
        <v>6549</v>
      </c>
      <c r="B391">
        <v>30143</v>
      </c>
      <c r="C391" t="s">
        <v>6550</v>
      </c>
      <c r="D391" t="s">
        <v>6168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6551</v>
      </c>
      <c r="B393">
        <v>29871</v>
      </c>
      <c r="C393" t="s">
        <v>6552</v>
      </c>
      <c r="D393" t="s">
        <v>6168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6553</v>
      </c>
      <c r="B395">
        <v>29633</v>
      </c>
      <c r="C395" t="s">
        <v>6554</v>
      </c>
      <c r="D395" t="s">
        <v>6168</v>
      </c>
    </row>
    <row r="396" spans="1:4">
      <c r="A396" t="s">
        <v>17193</v>
      </c>
      <c r="B396">
        <v>44548</v>
      </c>
      <c r="C396" t="s">
        <v>17194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6555</v>
      </c>
      <c r="B398">
        <v>43091</v>
      </c>
      <c r="C398" t="s">
        <v>6556</v>
      </c>
      <c r="D398" t="s">
        <v>6168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6557</v>
      </c>
      <c r="B400">
        <v>21573</v>
      </c>
      <c r="C400" t="s">
        <v>6558</v>
      </c>
      <c r="D400" t="s">
        <v>6168</v>
      </c>
    </row>
    <row r="401" spans="1:4">
      <c r="A401" t="s">
        <v>6559</v>
      </c>
      <c r="B401">
        <v>21574</v>
      </c>
      <c r="C401" t="s">
        <v>6560</v>
      </c>
      <c r="D401" t="s">
        <v>6168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6561</v>
      </c>
      <c r="B403">
        <v>35625</v>
      </c>
      <c r="C403" t="s">
        <v>6562</v>
      </c>
      <c r="D403" t="s">
        <v>6168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6563</v>
      </c>
      <c r="B406">
        <v>24366</v>
      </c>
      <c r="C406" t="s">
        <v>6564</v>
      </c>
      <c r="D406" t="s">
        <v>6168</v>
      </c>
    </row>
    <row r="407" spans="1:4">
      <c r="A407" t="s">
        <v>6565</v>
      </c>
      <c r="B407">
        <v>24367</v>
      </c>
      <c r="C407" t="s">
        <v>6554</v>
      </c>
      <c r="D407" t="s">
        <v>6168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6566</v>
      </c>
      <c r="B409">
        <v>23984</v>
      </c>
      <c r="C409" t="s">
        <v>3087</v>
      </c>
      <c r="D409" t="s">
        <v>6168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6567</v>
      </c>
      <c r="B411">
        <v>42598</v>
      </c>
      <c r="C411" t="s">
        <v>6568</v>
      </c>
      <c r="D411" t="s">
        <v>6168</v>
      </c>
    </row>
    <row r="412" spans="1:4">
      <c r="A412" t="s">
        <v>6569</v>
      </c>
      <c r="B412">
        <v>2340</v>
      </c>
      <c r="C412" t="s">
        <v>6570</v>
      </c>
      <c r="D412" t="s">
        <v>6168</v>
      </c>
    </row>
    <row r="413" spans="1:4">
      <c r="A413" t="s">
        <v>6571</v>
      </c>
      <c r="B413">
        <v>5081</v>
      </c>
      <c r="C413" t="s">
        <v>6572</v>
      </c>
      <c r="D413" t="s">
        <v>6168</v>
      </c>
    </row>
    <row r="414" spans="1:4">
      <c r="A414" t="s">
        <v>6573</v>
      </c>
      <c r="B414">
        <v>43400</v>
      </c>
      <c r="C414" t="s">
        <v>6574</v>
      </c>
      <c r="D414" t="s">
        <v>123</v>
      </c>
    </row>
    <row r="415" spans="1:4">
      <c r="A415" t="s">
        <v>16837</v>
      </c>
      <c r="B415">
        <v>43871</v>
      </c>
      <c r="C415" t="s">
        <v>7111</v>
      </c>
      <c r="D415" t="s">
        <v>6168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6575</v>
      </c>
      <c r="B417">
        <v>43026</v>
      </c>
      <c r="C417" t="s">
        <v>6576</v>
      </c>
      <c r="D417" t="s">
        <v>6168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6577</v>
      </c>
      <c r="B419">
        <v>203</v>
      </c>
      <c r="C419" t="s">
        <v>6578</v>
      </c>
      <c r="D419" t="s">
        <v>6168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6579</v>
      </c>
      <c r="B421">
        <v>3633</v>
      </c>
      <c r="C421" t="s">
        <v>6580</v>
      </c>
      <c r="D421" t="s">
        <v>6168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6581</v>
      </c>
      <c r="B424">
        <v>23333</v>
      </c>
      <c r="C424" t="s">
        <v>264</v>
      </c>
      <c r="D424" t="s">
        <v>6314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17227</v>
      </c>
      <c r="B426">
        <v>45320</v>
      </c>
      <c r="C426" t="s">
        <v>17228</v>
      </c>
      <c r="D426" t="s">
        <v>6168</v>
      </c>
    </row>
    <row r="427" spans="1:4">
      <c r="A427" t="s">
        <v>6582</v>
      </c>
      <c r="B427">
        <v>3830</v>
      </c>
      <c r="C427" t="s">
        <v>6583</v>
      </c>
      <c r="D427" t="s">
        <v>6168</v>
      </c>
    </row>
    <row r="428" spans="1:4">
      <c r="A428" t="s">
        <v>6584</v>
      </c>
      <c r="B428">
        <v>3831</v>
      </c>
      <c r="C428" t="s">
        <v>6585</v>
      </c>
      <c r="D428" t="s">
        <v>6168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6586</v>
      </c>
      <c r="B431">
        <v>29639</v>
      </c>
      <c r="C431" t="s">
        <v>6587</v>
      </c>
      <c r="D431" t="s">
        <v>6168</v>
      </c>
    </row>
    <row r="432" spans="1:4">
      <c r="A432" t="s">
        <v>6588</v>
      </c>
      <c r="B432">
        <v>35311</v>
      </c>
      <c r="C432" t="s">
        <v>6194</v>
      </c>
      <c r="D432" t="s">
        <v>6168</v>
      </c>
    </row>
    <row r="433" spans="1:4">
      <c r="A433" t="s">
        <v>6589</v>
      </c>
      <c r="B433">
        <v>29607</v>
      </c>
      <c r="C433" t="s">
        <v>6190</v>
      </c>
      <c r="D433" t="s">
        <v>6168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6590</v>
      </c>
      <c r="B435">
        <v>41096</v>
      </c>
      <c r="C435" t="s">
        <v>6330</v>
      </c>
      <c r="D435" t="s">
        <v>6168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6591</v>
      </c>
      <c r="B437">
        <v>21576</v>
      </c>
      <c r="C437" t="s">
        <v>6592</v>
      </c>
      <c r="D437" t="s">
        <v>6168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6593</v>
      </c>
      <c r="B439">
        <v>23985</v>
      </c>
      <c r="C439" t="s">
        <v>6594</v>
      </c>
      <c r="D439" t="s">
        <v>6168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6595</v>
      </c>
      <c r="B441">
        <v>30532</v>
      </c>
      <c r="C441" t="s">
        <v>6596</v>
      </c>
      <c r="D441" t="s">
        <v>6168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6597</v>
      </c>
      <c r="B445">
        <v>41998</v>
      </c>
      <c r="C445" t="s">
        <v>6598</v>
      </c>
      <c r="D445" t="s">
        <v>6168</v>
      </c>
    </row>
    <row r="446" spans="1:4">
      <c r="A446" t="s">
        <v>6599</v>
      </c>
      <c r="B446">
        <v>31199</v>
      </c>
      <c r="C446" t="s">
        <v>4950</v>
      </c>
      <c r="D446" t="s">
        <v>6168</v>
      </c>
    </row>
    <row r="447" spans="1:4">
      <c r="A447" t="s">
        <v>6600</v>
      </c>
      <c r="B447">
        <v>41999</v>
      </c>
      <c r="C447" t="s">
        <v>6601</v>
      </c>
      <c r="D447" t="s">
        <v>6168</v>
      </c>
    </row>
    <row r="448" spans="1:4">
      <c r="A448" t="s">
        <v>6602</v>
      </c>
      <c r="B448">
        <v>35114</v>
      </c>
      <c r="C448" t="s">
        <v>6603</v>
      </c>
      <c r="D448" t="s">
        <v>6168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6604</v>
      </c>
      <c r="B450">
        <v>33867</v>
      </c>
      <c r="C450" t="s">
        <v>644</v>
      </c>
      <c r="D450" t="s">
        <v>6605</v>
      </c>
    </row>
    <row r="451" spans="1:4">
      <c r="A451" t="s">
        <v>6606</v>
      </c>
      <c r="B451">
        <v>21577</v>
      </c>
      <c r="D451" t="s">
        <v>6305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6607</v>
      </c>
      <c r="B453">
        <v>21579</v>
      </c>
      <c r="C453" t="s">
        <v>6608</v>
      </c>
      <c r="D453" t="s">
        <v>6168</v>
      </c>
    </row>
    <row r="454" spans="1:4">
      <c r="A454" t="s">
        <v>6609</v>
      </c>
      <c r="B454">
        <v>21580</v>
      </c>
      <c r="C454" t="s">
        <v>6608</v>
      </c>
      <c r="D454" t="s">
        <v>6168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6610</v>
      </c>
      <c r="B457">
        <v>30113</v>
      </c>
      <c r="C457" t="s">
        <v>6611</v>
      </c>
      <c r="D457" t="s">
        <v>6168</v>
      </c>
    </row>
    <row r="458" spans="1:4">
      <c r="A458" t="s">
        <v>6612</v>
      </c>
      <c r="B458">
        <v>357</v>
      </c>
      <c r="C458" t="s">
        <v>6613</v>
      </c>
      <c r="D458" t="s">
        <v>6168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6614</v>
      </c>
      <c r="B460">
        <v>41940</v>
      </c>
      <c r="C460" t="s">
        <v>6615</v>
      </c>
      <c r="D460" t="s">
        <v>6168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6616</v>
      </c>
      <c r="B462">
        <v>20485</v>
      </c>
      <c r="C462" t="s">
        <v>6617</v>
      </c>
      <c r="D462" t="s">
        <v>6168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6618</v>
      </c>
      <c r="B465">
        <v>2384</v>
      </c>
      <c r="C465" t="s">
        <v>1435</v>
      </c>
      <c r="D465" t="s">
        <v>6168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6619</v>
      </c>
      <c r="B469">
        <v>29649</v>
      </c>
      <c r="C469" t="s">
        <v>6620</v>
      </c>
      <c r="D469" t="s">
        <v>6168</v>
      </c>
    </row>
    <row r="470" spans="1:4">
      <c r="A470" t="s">
        <v>6621</v>
      </c>
      <c r="B470">
        <v>29764</v>
      </c>
      <c r="C470" t="s">
        <v>6620</v>
      </c>
      <c r="D470" t="s">
        <v>6168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17138</v>
      </c>
      <c r="B472">
        <v>44438</v>
      </c>
      <c r="C472" t="s">
        <v>17139</v>
      </c>
      <c r="D472" t="s">
        <v>6168</v>
      </c>
    </row>
    <row r="473" spans="1:4">
      <c r="A473" t="s">
        <v>6622</v>
      </c>
      <c r="B473">
        <v>24018</v>
      </c>
      <c r="C473" t="s">
        <v>6623</v>
      </c>
      <c r="D473" t="s">
        <v>6168</v>
      </c>
    </row>
    <row r="474" spans="1:4">
      <c r="A474" t="s">
        <v>6624</v>
      </c>
      <c r="B474">
        <v>24019</v>
      </c>
      <c r="C474" t="s">
        <v>6625</v>
      </c>
      <c r="D474" t="s">
        <v>6168</v>
      </c>
    </row>
    <row r="475" spans="1:4">
      <c r="A475" t="s">
        <v>6626</v>
      </c>
      <c r="B475">
        <v>35065</v>
      </c>
      <c r="C475" t="s">
        <v>6627</v>
      </c>
      <c r="D475" t="s">
        <v>6168</v>
      </c>
    </row>
    <row r="476" spans="1:4">
      <c r="A476" t="s">
        <v>6628</v>
      </c>
      <c r="B476">
        <v>24020</v>
      </c>
      <c r="C476" t="s">
        <v>2809</v>
      </c>
      <c r="D476" t="s">
        <v>6168</v>
      </c>
    </row>
    <row r="477" spans="1:4">
      <c r="A477" t="s">
        <v>6629</v>
      </c>
      <c r="B477">
        <v>24021</v>
      </c>
      <c r="C477" t="s">
        <v>5440</v>
      </c>
      <c r="D477" t="s">
        <v>6168</v>
      </c>
    </row>
    <row r="478" spans="1:4">
      <c r="A478" t="s">
        <v>6630</v>
      </c>
      <c r="B478">
        <v>35066</v>
      </c>
      <c r="C478" t="s">
        <v>6631</v>
      </c>
      <c r="D478" t="s">
        <v>6168</v>
      </c>
    </row>
    <row r="479" spans="1:4">
      <c r="A479" t="s">
        <v>6632</v>
      </c>
      <c r="B479">
        <v>30146</v>
      </c>
      <c r="C479" t="s">
        <v>6627</v>
      </c>
      <c r="D479" t="s">
        <v>6168</v>
      </c>
    </row>
    <row r="480" spans="1:4">
      <c r="A480" t="s">
        <v>6633</v>
      </c>
      <c r="B480">
        <v>35067</v>
      </c>
      <c r="C480" t="s">
        <v>6627</v>
      </c>
      <c r="D480" t="s">
        <v>6168</v>
      </c>
    </row>
    <row r="481" spans="1:4">
      <c r="A481" t="s">
        <v>6634</v>
      </c>
      <c r="B481">
        <v>30147</v>
      </c>
      <c r="C481" t="s">
        <v>6627</v>
      </c>
      <c r="D481" t="s">
        <v>6168</v>
      </c>
    </row>
    <row r="482" spans="1:4">
      <c r="A482" t="s">
        <v>6635</v>
      </c>
      <c r="B482">
        <v>30150</v>
      </c>
      <c r="C482" t="s">
        <v>6627</v>
      </c>
      <c r="D482" t="s">
        <v>6168</v>
      </c>
    </row>
    <row r="483" spans="1:4">
      <c r="A483" t="s">
        <v>6636</v>
      </c>
      <c r="B483">
        <v>35068</v>
      </c>
      <c r="C483" t="s">
        <v>6627</v>
      </c>
      <c r="D483" t="s">
        <v>6168</v>
      </c>
    </row>
    <row r="484" spans="1:4">
      <c r="A484" t="s">
        <v>6637</v>
      </c>
      <c r="B484">
        <v>41097</v>
      </c>
      <c r="C484" t="s">
        <v>6627</v>
      </c>
      <c r="D484" t="s">
        <v>6168</v>
      </c>
    </row>
    <row r="485" spans="1:4">
      <c r="A485" t="s">
        <v>6638</v>
      </c>
      <c r="B485">
        <v>30151</v>
      </c>
      <c r="C485" t="s">
        <v>6627</v>
      </c>
      <c r="D485" t="s">
        <v>6168</v>
      </c>
    </row>
    <row r="486" spans="1:4">
      <c r="A486" t="s">
        <v>6639</v>
      </c>
      <c r="B486">
        <v>35069</v>
      </c>
      <c r="C486" t="s">
        <v>6640</v>
      </c>
      <c r="D486" t="s">
        <v>6168</v>
      </c>
    </row>
    <row r="487" spans="1:4">
      <c r="A487" t="s">
        <v>6641</v>
      </c>
      <c r="B487">
        <v>35070</v>
      </c>
      <c r="C487" t="s">
        <v>6627</v>
      </c>
      <c r="D487" t="s">
        <v>6168</v>
      </c>
    </row>
    <row r="488" spans="1:4">
      <c r="A488" t="s">
        <v>6642</v>
      </c>
      <c r="B488">
        <v>24022</v>
      </c>
      <c r="C488" t="s">
        <v>6643</v>
      </c>
      <c r="D488" t="s">
        <v>6168</v>
      </c>
    </row>
    <row r="489" spans="1:4">
      <c r="A489" t="s">
        <v>6644</v>
      </c>
      <c r="B489">
        <v>31284</v>
      </c>
      <c r="C489" t="s">
        <v>6645</v>
      </c>
      <c r="D489" t="s">
        <v>6168</v>
      </c>
    </row>
    <row r="490" spans="1:4">
      <c r="A490" t="s">
        <v>6646</v>
      </c>
      <c r="B490">
        <v>24023</v>
      </c>
      <c r="C490" t="s">
        <v>6647</v>
      </c>
      <c r="D490" t="s">
        <v>6168</v>
      </c>
    </row>
    <row r="491" spans="1:4">
      <c r="A491" t="s">
        <v>6648</v>
      </c>
      <c r="B491">
        <v>24024</v>
      </c>
      <c r="C491" t="s">
        <v>6649</v>
      </c>
      <c r="D491" t="s">
        <v>6168</v>
      </c>
    </row>
    <row r="492" spans="1:4">
      <c r="A492" t="s">
        <v>6650</v>
      </c>
      <c r="B492">
        <v>31296</v>
      </c>
      <c r="C492" t="s">
        <v>6651</v>
      </c>
      <c r="D492" t="s">
        <v>6168</v>
      </c>
    </row>
    <row r="493" spans="1:4">
      <c r="A493" t="s">
        <v>6652</v>
      </c>
      <c r="B493">
        <v>24025</v>
      </c>
      <c r="C493" t="s">
        <v>6653</v>
      </c>
      <c r="D493" t="s">
        <v>6168</v>
      </c>
    </row>
    <row r="494" spans="1:4">
      <c r="A494" t="s">
        <v>6654</v>
      </c>
      <c r="B494">
        <v>29435</v>
      </c>
      <c r="C494" t="s">
        <v>6651</v>
      </c>
      <c r="D494" t="s">
        <v>6168</v>
      </c>
    </row>
    <row r="495" spans="1:4">
      <c r="A495" t="s">
        <v>6655</v>
      </c>
      <c r="B495">
        <v>30152</v>
      </c>
      <c r="C495" t="s">
        <v>6627</v>
      </c>
      <c r="D495" t="s">
        <v>6168</v>
      </c>
    </row>
    <row r="496" spans="1:4">
      <c r="A496" t="s">
        <v>6656</v>
      </c>
      <c r="B496">
        <v>24026</v>
      </c>
      <c r="C496" t="s">
        <v>6657</v>
      </c>
      <c r="D496" t="s">
        <v>6168</v>
      </c>
    </row>
    <row r="497" spans="1:4">
      <c r="A497" t="s">
        <v>6658</v>
      </c>
      <c r="B497">
        <v>41098</v>
      </c>
      <c r="C497" t="s">
        <v>6627</v>
      </c>
      <c r="D497" t="s">
        <v>6168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6659</v>
      </c>
      <c r="B500">
        <v>23987</v>
      </c>
      <c r="C500" t="s">
        <v>2396</v>
      </c>
      <c r="D500" t="s">
        <v>6168</v>
      </c>
    </row>
    <row r="501" spans="1:4">
      <c r="A501" t="s">
        <v>6660</v>
      </c>
      <c r="B501">
        <v>24499</v>
      </c>
      <c r="C501" t="s">
        <v>6661</v>
      </c>
      <c r="D501" t="s">
        <v>6168</v>
      </c>
    </row>
    <row r="502" spans="1:4">
      <c r="A502" t="s">
        <v>6662</v>
      </c>
      <c r="B502">
        <v>23988</v>
      </c>
      <c r="C502" t="s">
        <v>6663</v>
      </c>
      <c r="D502" t="s">
        <v>6168</v>
      </c>
    </row>
    <row r="503" spans="1:4">
      <c r="A503" t="s">
        <v>6664</v>
      </c>
      <c r="B503">
        <v>39685</v>
      </c>
      <c r="C503" t="s">
        <v>6665</v>
      </c>
      <c r="D503" t="s">
        <v>6168</v>
      </c>
    </row>
    <row r="504" spans="1:4">
      <c r="A504" t="s">
        <v>6666</v>
      </c>
      <c r="B504">
        <v>29458</v>
      </c>
      <c r="C504" t="s">
        <v>6667</v>
      </c>
      <c r="D504" t="s">
        <v>6168</v>
      </c>
    </row>
    <row r="505" spans="1:4">
      <c r="A505" t="s">
        <v>6668</v>
      </c>
      <c r="B505">
        <v>30153</v>
      </c>
      <c r="C505" t="s">
        <v>1381</v>
      </c>
      <c r="D505" t="s">
        <v>6168</v>
      </c>
    </row>
    <row r="506" spans="1:4">
      <c r="A506" t="s">
        <v>6669</v>
      </c>
      <c r="B506">
        <v>38768</v>
      </c>
      <c r="C506" t="s">
        <v>6670</v>
      </c>
      <c r="D506" t="s">
        <v>6168</v>
      </c>
    </row>
    <row r="507" spans="1:4">
      <c r="A507" t="s">
        <v>6671</v>
      </c>
      <c r="B507">
        <v>39686</v>
      </c>
      <c r="C507" t="s">
        <v>6672</v>
      </c>
      <c r="D507" t="s">
        <v>6168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6673</v>
      </c>
      <c r="B509">
        <v>39497</v>
      </c>
      <c r="C509" t="s">
        <v>367</v>
      </c>
      <c r="D509" t="s">
        <v>6267</v>
      </c>
    </row>
    <row r="510" spans="1:4">
      <c r="A510" t="s">
        <v>6674</v>
      </c>
      <c r="B510">
        <v>23155</v>
      </c>
      <c r="D510" t="s">
        <v>6230</v>
      </c>
    </row>
    <row r="511" spans="1:4">
      <c r="A511" t="s">
        <v>6675</v>
      </c>
      <c r="B511">
        <v>39589</v>
      </c>
      <c r="C511" t="s">
        <v>5096</v>
      </c>
      <c r="D511" t="s">
        <v>6267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6676</v>
      </c>
      <c r="B513">
        <v>35422</v>
      </c>
      <c r="C513" t="s">
        <v>6677</v>
      </c>
      <c r="D513" t="s">
        <v>6168</v>
      </c>
    </row>
    <row r="514" spans="1:4">
      <c r="A514" t="s">
        <v>6678</v>
      </c>
      <c r="B514">
        <v>34108</v>
      </c>
      <c r="C514" t="s">
        <v>6679</v>
      </c>
      <c r="D514" t="s">
        <v>6168</v>
      </c>
    </row>
    <row r="515" spans="1:4">
      <c r="A515" t="s">
        <v>6680</v>
      </c>
      <c r="B515">
        <v>37795</v>
      </c>
      <c r="C515" t="s">
        <v>6677</v>
      </c>
      <c r="D515" t="s">
        <v>6168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6681</v>
      </c>
      <c r="B517">
        <v>31055</v>
      </c>
      <c r="C517" t="s">
        <v>4905</v>
      </c>
      <c r="D517" t="s">
        <v>6168</v>
      </c>
    </row>
    <row r="518" spans="1:4">
      <c r="A518" t="s">
        <v>6682</v>
      </c>
      <c r="B518">
        <v>19303</v>
      </c>
      <c r="C518" t="s">
        <v>4905</v>
      </c>
      <c r="D518" t="s">
        <v>6168</v>
      </c>
    </row>
    <row r="519" spans="1:4">
      <c r="A519" t="s">
        <v>6683</v>
      </c>
      <c r="B519">
        <v>20370</v>
      </c>
      <c r="C519" t="s">
        <v>6684</v>
      </c>
      <c r="D519" t="s">
        <v>6168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6685</v>
      </c>
      <c r="B522">
        <v>23989</v>
      </c>
      <c r="C522" t="s">
        <v>6554</v>
      </c>
      <c r="D522" t="s">
        <v>6168</v>
      </c>
    </row>
    <row r="523" spans="1:4">
      <c r="A523" t="s">
        <v>6686</v>
      </c>
      <c r="B523">
        <v>33869</v>
      </c>
      <c r="C523" t="s">
        <v>6687</v>
      </c>
      <c r="D523" t="s">
        <v>6168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6688</v>
      </c>
      <c r="B525">
        <v>35941</v>
      </c>
      <c r="C525" t="s">
        <v>6689</v>
      </c>
      <c r="D525" t="s">
        <v>6168</v>
      </c>
    </row>
    <row r="526" spans="1:4">
      <c r="A526" t="s">
        <v>6690</v>
      </c>
      <c r="B526">
        <v>42001</v>
      </c>
      <c r="C526" t="s">
        <v>5991</v>
      </c>
      <c r="D526" t="s">
        <v>6305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6691</v>
      </c>
      <c r="B528">
        <v>23991</v>
      </c>
      <c r="C528" t="s">
        <v>6692</v>
      </c>
      <c r="D528" t="s">
        <v>6168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6693</v>
      </c>
      <c r="B530">
        <v>29812</v>
      </c>
      <c r="C530" t="s">
        <v>6694</v>
      </c>
      <c r="D530" t="s">
        <v>6168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6695</v>
      </c>
      <c r="B533">
        <v>30154</v>
      </c>
      <c r="C533" t="s">
        <v>1325</v>
      </c>
      <c r="D533" t="s">
        <v>6168</v>
      </c>
    </row>
    <row r="534" spans="1:4">
      <c r="A534" t="s">
        <v>6696</v>
      </c>
      <c r="B534">
        <v>25296</v>
      </c>
      <c r="C534" t="s">
        <v>6697</v>
      </c>
      <c r="D534" t="s">
        <v>6168</v>
      </c>
    </row>
    <row r="535" spans="1:4">
      <c r="A535" t="s">
        <v>6698</v>
      </c>
      <c r="B535">
        <v>26426</v>
      </c>
      <c r="C535" t="s">
        <v>6699</v>
      </c>
      <c r="D535" t="s">
        <v>6168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6700</v>
      </c>
      <c r="B537">
        <v>4438</v>
      </c>
      <c r="C537" t="s">
        <v>6701</v>
      </c>
      <c r="D537" t="s">
        <v>6168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6702</v>
      </c>
      <c r="B539">
        <v>22</v>
      </c>
      <c r="C539" t="s">
        <v>6703</v>
      </c>
      <c r="D539" t="s">
        <v>6168</v>
      </c>
    </row>
    <row r="540" spans="1:4">
      <c r="A540" t="s">
        <v>6704</v>
      </c>
      <c r="B540">
        <v>23</v>
      </c>
      <c r="C540" t="s">
        <v>6705</v>
      </c>
      <c r="D540" t="s">
        <v>6168</v>
      </c>
    </row>
    <row r="541" spans="1:4">
      <c r="A541" t="s">
        <v>6706</v>
      </c>
      <c r="B541">
        <v>24</v>
      </c>
      <c r="C541" t="s">
        <v>6707</v>
      </c>
      <c r="D541" t="s">
        <v>6168</v>
      </c>
    </row>
    <row r="542" spans="1:4">
      <c r="A542" t="s">
        <v>6708</v>
      </c>
      <c r="B542">
        <v>25</v>
      </c>
      <c r="C542" t="s">
        <v>6705</v>
      </c>
      <c r="D542" t="s">
        <v>6168</v>
      </c>
    </row>
    <row r="543" spans="1:4">
      <c r="A543" t="s">
        <v>6709</v>
      </c>
      <c r="B543">
        <v>23243</v>
      </c>
      <c r="D543" t="s">
        <v>6245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17218</v>
      </c>
      <c r="B545">
        <v>45307</v>
      </c>
      <c r="C545" t="s">
        <v>1079</v>
      </c>
      <c r="D545" t="s">
        <v>6267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6710</v>
      </c>
      <c r="B549">
        <v>25050</v>
      </c>
      <c r="C549" t="s">
        <v>6711</v>
      </c>
      <c r="D549" t="s">
        <v>6168</v>
      </c>
    </row>
    <row r="550" spans="1:4">
      <c r="A550" t="s">
        <v>6712</v>
      </c>
      <c r="B550">
        <v>3114</v>
      </c>
      <c r="C550" t="s">
        <v>6713</v>
      </c>
      <c r="D550" t="s">
        <v>6245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6714</v>
      </c>
      <c r="B552">
        <v>30535</v>
      </c>
      <c r="C552" t="s">
        <v>4950</v>
      </c>
      <c r="D552" t="s">
        <v>6168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6715</v>
      </c>
      <c r="B554">
        <v>25051</v>
      </c>
      <c r="C554" t="s">
        <v>367</v>
      </c>
      <c r="D554" t="s">
        <v>6168</v>
      </c>
    </row>
    <row r="555" spans="1:4">
      <c r="A555" t="s">
        <v>6716</v>
      </c>
      <c r="B555">
        <v>30156</v>
      </c>
      <c r="C555" t="s">
        <v>6717</v>
      </c>
      <c r="D555" t="s">
        <v>6168</v>
      </c>
    </row>
    <row r="556" spans="1:4">
      <c r="A556" t="s">
        <v>6718</v>
      </c>
      <c r="B556">
        <v>43019</v>
      </c>
      <c r="C556" t="s">
        <v>6719</v>
      </c>
      <c r="D556" t="s">
        <v>6168</v>
      </c>
    </row>
    <row r="557" spans="1:4">
      <c r="A557" t="s">
        <v>6720</v>
      </c>
      <c r="B557">
        <v>35268</v>
      </c>
      <c r="C557" t="s">
        <v>3203</v>
      </c>
      <c r="D557" t="s">
        <v>6168</v>
      </c>
    </row>
    <row r="558" spans="1:4">
      <c r="A558" t="s">
        <v>6721</v>
      </c>
      <c r="B558">
        <v>41099</v>
      </c>
      <c r="C558" t="s">
        <v>636</v>
      </c>
      <c r="D558" t="s">
        <v>6168</v>
      </c>
    </row>
    <row r="559" spans="1:4">
      <c r="A559" t="s">
        <v>6722</v>
      </c>
      <c r="B559">
        <v>41100</v>
      </c>
      <c r="C559" t="s">
        <v>636</v>
      </c>
      <c r="D559" t="s">
        <v>6168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6723</v>
      </c>
      <c r="B561">
        <v>23992</v>
      </c>
      <c r="C561" t="s">
        <v>6724</v>
      </c>
      <c r="D561" t="s">
        <v>6168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6725</v>
      </c>
      <c r="B563">
        <v>39654</v>
      </c>
      <c r="C563" t="s">
        <v>6726</v>
      </c>
      <c r="D563" t="s">
        <v>6248</v>
      </c>
    </row>
    <row r="564" spans="1:4">
      <c r="A564" t="s">
        <v>6727</v>
      </c>
      <c r="B564">
        <v>34932</v>
      </c>
      <c r="C564" t="s">
        <v>6728</v>
      </c>
      <c r="D564" t="s">
        <v>6168</v>
      </c>
    </row>
    <row r="565" spans="1:4">
      <c r="A565" t="s">
        <v>6730</v>
      </c>
      <c r="B565">
        <v>29477</v>
      </c>
      <c r="C565" t="s">
        <v>6731</v>
      </c>
      <c r="D565" t="s">
        <v>6168</v>
      </c>
    </row>
    <row r="566" spans="1:4">
      <c r="A566" t="s">
        <v>6732</v>
      </c>
      <c r="B566">
        <v>31128</v>
      </c>
      <c r="C566" t="s">
        <v>6733</v>
      </c>
      <c r="D566" t="s">
        <v>6168</v>
      </c>
    </row>
    <row r="567" spans="1:4">
      <c r="A567" t="s">
        <v>6734</v>
      </c>
      <c r="B567">
        <v>24948</v>
      </c>
      <c r="C567" t="s">
        <v>6726</v>
      </c>
      <c r="D567" t="s">
        <v>6168</v>
      </c>
    </row>
    <row r="568" spans="1:4">
      <c r="A568" t="s">
        <v>6735</v>
      </c>
      <c r="B568">
        <v>24949</v>
      </c>
      <c r="C568" t="s">
        <v>2775</v>
      </c>
      <c r="D568" t="s">
        <v>6168</v>
      </c>
    </row>
    <row r="569" spans="1:4">
      <c r="A569" t="s">
        <v>6736</v>
      </c>
      <c r="B569">
        <v>26425</v>
      </c>
      <c r="C569" t="s">
        <v>6728</v>
      </c>
      <c r="D569" t="s">
        <v>6168</v>
      </c>
    </row>
    <row r="570" spans="1:4">
      <c r="A570" t="s">
        <v>6737</v>
      </c>
      <c r="B570">
        <v>30157</v>
      </c>
      <c r="C570" t="s">
        <v>6738</v>
      </c>
      <c r="D570" t="s">
        <v>6168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6739</v>
      </c>
      <c r="B573">
        <v>42366</v>
      </c>
      <c r="C573" t="s">
        <v>5978</v>
      </c>
      <c r="D573" t="s">
        <v>6168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6740</v>
      </c>
      <c r="B576">
        <v>29320</v>
      </c>
      <c r="C576" t="s">
        <v>6741</v>
      </c>
      <c r="D576" t="s">
        <v>6168</v>
      </c>
    </row>
    <row r="577" spans="1:4">
      <c r="A577" t="s">
        <v>6742</v>
      </c>
      <c r="B577">
        <v>24028</v>
      </c>
      <c r="C577" t="s">
        <v>6657</v>
      </c>
      <c r="D577" t="s">
        <v>6168</v>
      </c>
    </row>
    <row r="578" spans="1:4">
      <c r="A578" t="s">
        <v>6743</v>
      </c>
      <c r="B578">
        <v>24029</v>
      </c>
      <c r="C578" t="s">
        <v>6744</v>
      </c>
      <c r="D578" t="s">
        <v>6168</v>
      </c>
    </row>
    <row r="579" spans="1:4">
      <c r="A579" t="s">
        <v>6745</v>
      </c>
      <c r="B579">
        <v>24950</v>
      </c>
      <c r="C579" t="s">
        <v>6746</v>
      </c>
      <c r="D579" t="s">
        <v>6168</v>
      </c>
    </row>
    <row r="580" spans="1:4">
      <c r="A580" t="s">
        <v>6747</v>
      </c>
      <c r="B580">
        <v>24030</v>
      </c>
      <c r="C580" t="s">
        <v>6190</v>
      </c>
      <c r="D580" t="s">
        <v>6168</v>
      </c>
    </row>
    <row r="581" spans="1:4">
      <c r="A581" t="s">
        <v>17561</v>
      </c>
      <c r="B581">
        <v>46832</v>
      </c>
      <c r="C581" t="s">
        <v>17562</v>
      </c>
      <c r="D581" t="s">
        <v>6168</v>
      </c>
    </row>
    <row r="582" spans="1:4">
      <c r="A582" t="s">
        <v>6748</v>
      </c>
      <c r="B582">
        <v>42928</v>
      </c>
      <c r="C582" t="s">
        <v>6749</v>
      </c>
      <c r="D582" t="s">
        <v>6168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6750</v>
      </c>
      <c r="B584">
        <v>39565</v>
      </c>
      <c r="C584" t="s">
        <v>1201</v>
      </c>
      <c r="D584" t="s">
        <v>6267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6751</v>
      </c>
      <c r="B586">
        <v>21581</v>
      </c>
      <c r="C586" t="s">
        <v>6752</v>
      </c>
      <c r="D586" t="s">
        <v>6314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6753</v>
      </c>
      <c r="B588">
        <v>21583</v>
      </c>
      <c r="C588" t="s">
        <v>6754</v>
      </c>
      <c r="D588" t="s">
        <v>6168</v>
      </c>
    </row>
    <row r="589" spans="1:4">
      <c r="A589" t="s">
        <v>6755</v>
      </c>
      <c r="B589">
        <v>21584</v>
      </c>
      <c r="C589" t="s">
        <v>6756</v>
      </c>
      <c r="D589" t="s">
        <v>6168</v>
      </c>
    </row>
    <row r="590" spans="1:4">
      <c r="A590" t="s">
        <v>6757</v>
      </c>
      <c r="B590">
        <v>31297</v>
      </c>
      <c r="C590" t="s">
        <v>6758</v>
      </c>
      <c r="D590" t="s">
        <v>6168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6759</v>
      </c>
      <c r="B592">
        <v>39075</v>
      </c>
      <c r="C592" t="s">
        <v>6760</v>
      </c>
      <c r="D592" t="s">
        <v>6168</v>
      </c>
    </row>
    <row r="593" spans="1:4">
      <c r="A593" t="s">
        <v>6761</v>
      </c>
      <c r="B593">
        <v>2334</v>
      </c>
      <c r="C593" t="s">
        <v>6762</v>
      </c>
      <c r="D593" t="s">
        <v>6168</v>
      </c>
    </row>
    <row r="594" spans="1:4">
      <c r="A594" t="s">
        <v>6763</v>
      </c>
      <c r="B594">
        <v>282</v>
      </c>
      <c r="C594" t="s">
        <v>6760</v>
      </c>
      <c r="D594" t="s">
        <v>6168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6764</v>
      </c>
      <c r="B596">
        <v>2521</v>
      </c>
      <c r="C596" t="s">
        <v>6765</v>
      </c>
      <c r="D596" t="s">
        <v>6168</v>
      </c>
    </row>
    <row r="597" spans="1:4">
      <c r="A597" t="s">
        <v>6766</v>
      </c>
      <c r="B597">
        <v>2522</v>
      </c>
      <c r="C597" t="s">
        <v>6467</v>
      </c>
      <c r="D597" t="s">
        <v>6168</v>
      </c>
    </row>
    <row r="598" spans="1:4">
      <c r="A598" t="s">
        <v>6767</v>
      </c>
      <c r="B598">
        <v>2523</v>
      </c>
      <c r="C598" t="s">
        <v>6768</v>
      </c>
      <c r="D598" t="s">
        <v>6168</v>
      </c>
    </row>
    <row r="599" spans="1:4">
      <c r="A599" t="s">
        <v>6769</v>
      </c>
      <c r="B599">
        <v>9833</v>
      </c>
      <c r="D599" t="s">
        <v>6305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6770</v>
      </c>
      <c r="B601">
        <v>20572</v>
      </c>
      <c r="C601" t="s">
        <v>6441</v>
      </c>
      <c r="D601" t="s">
        <v>6168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6771</v>
      </c>
      <c r="B603">
        <v>21586</v>
      </c>
      <c r="C603" t="s">
        <v>6772</v>
      </c>
      <c r="D603" t="s">
        <v>6168</v>
      </c>
    </row>
    <row r="604" spans="1:4">
      <c r="A604" t="s">
        <v>6773</v>
      </c>
      <c r="B604">
        <v>21588</v>
      </c>
      <c r="D604" t="s">
        <v>6305</v>
      </c>
    </row>
    <row r="605" spans="1:4">
      <c r="A605" t="s">
        <v>6774</v>
      </c>
      <c r="B605">
        <v>21589</v>
      </c>
      <c r="C605" t="s">
        <v>6775</v>
      </c>
      <c r="D605" t="s">
        <v>6305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17428</v>
      </c>
      <c r="B607">
        <v>45717</v>
      </c>
      <c r="C607" t="s">
        <v>4950</v>
      </c>
      <c r="D607" t="s">
        <v>6168</v>
      </c>
    </row>
    <row r="608" spans="1:4">
      <c r="A608" t="s">
        <v>6776</v>
      </c>
      <c r="B608">
        <v>21590</v>
      </c>
      <c r="C608" t="s">
        <v>6777</v>
      </c>
      <c r="D608" t="s">
        <v>6168</v>
      </c>
    </row>
    <row r="609" spans="1:4">
      <c r="A609" t="s">
        <v>6778</v>
      </c>
      <c r="B609">
        <v>30538</v>
      </c>
      <c r="C609" t="s">
        <v>6779</v>
      </c>
      <c r="D609" t="s">
        <v>6168</v>
      </c>
    </row>
    <row r="610" spans="1:4">
      <c r="A610" t="s">
        <v>6780</v>
      </c>
      <c r="B610">
        <v>27358</v>
      </c>
      <c r="C610" t="s">
        <v>6781</v>
      </c>
      <c r="D610" t="s">
        <v>6168</v>
      </c>
    </row>
    <row r="611" spans="1:4">
      <c r="A611" t="s">
        <v>17229</v>
      </c>
      <c r="B611">
        <v>45321</v>
      </c>
      <c r="C611" t="s">
        <v>15896</v>
      </c>
      <c r="D611" t="s">
        <v>6168</v>
      </c>
    </row>
    <row r="612" spans="1:4">
      <c r="A612" t="s">
        <v>6782</v>
      </c>
      <c r="B612">
        <v>41101</v>
      </c>
      <c r="C612" t="s">
        <v>6783</v>
      </c>
      <c r="D612" t="s">
        <v>6168</v>
      </c>
    </row>
    <row r="613" spans="1:4">
      <c r="A613" t="s">
        <v>6784</v>
      </c>
      <c r="B613">
        <v>21591</v>
      </c>
      <c r="C613" t="s">
        <v>6785</v>
      </c>
      <c r="D613" t="s">
        <v>6168</v>
      </c>
    </row>
    <row r="614" spans="1:4">
      <c r="A614" t="s">
        <v>6786</v>
      </c>
      <c r="B614">
        <v>31094</v>
      </c>
      <c r="C614" t="s">
        <v>6787</v>
      </c>
      <c r="D614" t="s">
        <v>6168</v>
      </c>
    </row>
    <row r="615" spans="1:4">
      <c r="A615" t="s">
        <v>6788</v>
      </c>
      <c r="B615">
        <v>27357</v>
      </c>
      <c r="C615" t="s">
        <v>6789</v>
      </c>
      <c r="D615" t="s">
        <v>6168</v>
      </c>
    </row>
    <row r="616" spans="1:4">
      <c r="A616" t="s">
        <v>6790</v>
      </c>
      <c r="B616">
        <v>21592</v>
      </c>
      <c r="C616" t="s">
        <v>6791</v>
      </c>
      <c r="D616" t="s">
        <v>6267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6792</v>
      </c>
      <c r="B618">
        <v>3931</v>
      </c>
      <c r="C618" t="s">
        <v>6793</v>
      </c>
      <c r="D618" t="s">
        <v>6168</v>
      </c>
    </row>
    <row r="619" spans="1:4">
      <c r="A619" t="s">
        <v>6794</v>
      </c>
      <c r="B619">
        <v>3936</v>
      </c>
      <c r="C619" t="s">
        <v>6795</v>
      </c>
      <c r="D619" t="s">
        <v>6168</v>
      </c>
    </row>
    <row r="620" spans="1:4">
      <c r="A620" t="s">
        <v>6796</v>
      </c>
      <c r="B620">
        <v>3934</v>
      </c>
      <c r="C620" t="s">
        <v>6797</v>
      </c>
      <c r="D620" t="s">
        <v>6168</v>
      </c>
    </row>
    <row r="621" spans="1:4">
      <c r="A621" t="s">
        <v>6798</v>
      </c>
      <c r="B621">
        <v>3928</v>
      </c>
      <c r="C621" t="s">
        <v>6799</v>
      </c>
      <c r="D621" t="s">
        <v>6168</v>
      </c>
    </row>
    <row r="622" spans="1:4">
      <c r="A622" t="s">
        <v>6800</v>
      </c>
      <c r="B622">
        <v>3933</v>
      </c>
      <c r="C622" t="s">
        <v>2910</v>
      </c>
      <c r="D622" t="s">
        <v>6168</v>
      </c>
    </row>
    <row r="623" spans="1:4">
      <c r="A623" t="s">
        <v>6801</v>
      </c>
      <c r="B623">
        <v>3929</v>
      </c>
      <c r="C623" t="s">
        <v>6802</v>
      </c>
      <c r="D623" t="s">
        <v>6168</v>
      </c>
    </row>
    <row r="624" spans="1:4">
      <c r="A624" t="s">
        <v>6803</v>
      </c>
      <c r="B624">
        <v>3930</v>
      </c>
      <c r="C624" t="s">
        <v>6802</v>
      </c>
      <c r="D624" t="s">
        <v>6168</v>
      </c>
    </row>
    <row r="625" spans="1:4">
      <c r="A625" t="s">
        <v>6804</v>
      </c>
      <c r="B625">
        <v>3935</v>
      </c>
      <c r="C625" t="s">
        <v>6805</v>
      </c>
      <c r="D625" t="s">
        <v>6168</v>
      </c>
    </row>
    <row r="626" spans="1:4">
      <c r="A626" t="s">
        <v>6806</v>
      </c>
      <c r="B626">
        <v>3932</v>
      </c>
      <c r="C626" t="s">
        <v>6807</v>
      </c>
      <c r="D626" t="s">
        <v>6168</v>
      </c>
    </row>
    <row r="627" spans="1:4">
      <c r="A627" t="s">
        <v>6808</v>
      </c>
      <c r="B627">
        <v>35099</v>
      </c>
      <c r="C627" t="s">
        <v>6809</v>
      </c>
      <c r="D627" t="s">
        <v>6168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6810</v>
      </c>
      <c r="B629">
        <v>21593</v>
      </c>
      <c r="C629" t="s">
        <v>6811</v>
      </c>
      <c r="D629" t="s">
        <v>6230</v>
      </c>
    </row>
    <row r="630" spans="1:4">
      <c r="A630" t="s">
        <v>6812</v>
      </c>
      <c r="B630">
        <v>25052</v>
      </c>
      <c r="C630" t="s">
        <v>6813</v>
      </c>
      <c r="D630" t="s">
        <v>6305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6814</v>
      </c>
      <c r="B633">
        <v>21595</v>
      </c>
      <c r="C633" t="s">
        <v>6815</v>
      </c>
      <c r="D633" t="s">
        <v>6168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6816</v>
      </c>
      <c r="B635">
        <v>21596</v>
      </c>
      <c r="C635" t="s">
        <v>6817</v>
      </c>
      <c r="D635" t="s">
        <v>6168</v>
      </c>
    </row>
    <row r="636" spans="1:4">
      <c r="A636" t="s">
        <v>6818</v>
      </c>
      <c r="B636">
        <v>21597</v>
      </c>
      <c r="C636" t="s">
        <v>987</v>
      </c>
      <c r="D636" t="s">
        <v>6168</v>
      </c>
    </row>
    <row r="637" spans="1:4">
      <c r="A637" t="s">
        <v>6819</v>
      </c>
      <c r="B637">
        <v>2639</v>
      </c>
      <c r="C637" t="s">
        <v>409</v>
      </c>
      <c r="D637" t="s">
        <v>6168</v>
      </c>
    </row>
    <row r="638" spans="1:4">
      <c r="A638" t="s">
        <v>6820</v>
      </c>
      <c r="B638">
        <v>32530</v>
      </c>
      <c r="C638" t="s">
        <v>6821</v>
      </c>
      <c r="D638" t="s">
        <v>6449</v>
      </c>
    </row>
    <row r="639" spans="1:4">
      <c r="A639" t="s">
        <v>6822</v>
      </c>
      <c r="B639">
        <v>27258</v>
      </c>
      <c r="C639" t="s">
        <v>432</v>
      </c>
      <c r="D639" t="s">
        <v>6168</v>
      </c>
    </row>
    <row r="640" spans="1:4">
      <c r="A640" t="s">
        <v>6823</v>
      </c>
      <c r="B640">
        <v>2640</v>
      </c>
      <c r="C640" t="s">
        <v>6824</v>
      </c>
      <c r="D640" t="s">
        <v>6168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6825</v>
      </c>
      <c r="B642">
        <v>4328</v>
      </c>
      <c r="C642" t="s">
        <v>6826</v>
      </c>
      <c r="D642" t="s">
        <v>6168</v>
      </c>
    </row>
    <row r="643" spans="1:4">
      <c r="A643" t="s">
        <v>16819</v>
      </c>
      <c r="B643">
        <v>43862</v>
      </c>
      <c r="C643" t="s">
        <v>16820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6827</v>
      </c>
      <c r="D645" t="s">
        <v>123</v>
      </c>
    </row>
    <row r="646" spans="1:4">
      <c r="A646" t="s">
        <v>6828</v>
      </c>
      <c r="B646">
        <v>30550</v>
      </c>
      <c r="C646" t="s">
        <v>6829</v>
      </c>
      <c r="D646" t="s">
        <v>6168</v>
      </c>
    </row>
    <row r="647" spans="1:4">
      <c r="A647" t="s">
        <v>2965</v>
      </c>
      <c r="B647">
        <v>24505</v>
      </c>
      <c r="C647" t="s">
        <v>6830</v>
      </c>
      <c r="D647" t="s">
        <v>123</v>
      </c>
    </row>
    <row r="648" spans="1:4">
      <c r="A648" t="s">
        <v>6831</v>
      </c>
      <c r="B648">
        <v>30160</v>
      </c>
      <c r="C648" t="s">
        <v>6832</v>
      </c>
      <c r="D648" t="s">
        <v>6168</v>
      </c>
    </row>
    <row r="649" spans="1:4">
      <c r="A649" t="s">
        <v>6833</v>
      </c>
      <c r="B649">
        <v>31126</v>
      </c>
      <c r="C649" t="s">
        <v>6834</v>
      </c>
      <c r="D649" t="s">
        <v>6168</v>
      </c>
    </row>
    <row r="650" spans="1:4">
      <c r="A650" t="s">
        <v>6835</v>
      </c>
      <c r="B650">
        <v>35355</v>
      </c>
      <c r="C650" t="s">
        <v>6829</v>
      </c>
      <c r="D650" t="s">
        <v>6168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6836</v>
      </c>
      <c r="B653">
        <v>41939</v>
      </c>
      <c r="C653" t="s">
        <v>264</v>
      </c>
      <c r="D653" t="s">
        <v>6267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6837</v>
      </c>
      <c r="B655">
        <v>1029</v>
      </c>
      <c r="C655" t="s">
        <v>4862</v>
      </c>
      <c r="D655" t="s">
        <v>6168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6838</v>
      </c>
      <c r="B657">
        <v>30796</v>
      </c>
      <c r="C657" t="s">
        <v>6839</v>
      </c>
      <c r="D657" t="s">
        <v>6168</v>
      </c>
    </row>
    <row r="658" spans="1:4">
      <c r="A658" t="s">
        <v>6840</v>
      </c>
      <c r="B658">
        <v>30797</v>
      </c>
      <c r="C658" t="s">
        <v>6841</v>
      </c>
      <c r="D658" t="s">
        <v>6168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6842</v>
      </c>
      <c r="B661">
        <v>33872</v>
      </c>
      <c r="C661" t="s">
        <v>6843</v>
      </c>
      <c r="D661" t="s">
        <v>6168</v>
      </c>
    </row>
    <row r="662" spans="1:4">
      <c r="A662" t="s">
        <v>6844</v>
      </c>
      <c r="B662">
        <v>24506</v>
      </c>
      <c r="C662" t="s">
        <v>6845</v>
      </c>
      <c r="D662" t="s">
        <v>6168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6846</v>
      </c>
      <c r="B664">
        <v>21599</v>
      </c>
      <c r="C664" t="s">
        <v>6847</v>
      </c>
      <c r="D664" t="s">
        <v>6168</v>
      </c>
    </row>
    <row r="665" spans="1:4">
      <c r="A665" t="s">
        <v>6848</v>
      </c>
      <c r="B665">
        <v>33873</v>
      </c>
      <c r="C665" t="s">
        <v>6849</v>
      </c>
      <c r="D665" t="s">
        <v>6168</v>
      </c>
    </row>
    <row r="666" spans="1:4">
      <c r="A666" t="s">
        <v>6850</v>
      </c>
      <c r="B666">
        <v>33874</v>
      </c>
      <c r="C666" t="s">
        <v>6851</v>
      </c>
      <c r="D666" t="s">
        <v>6168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6852</v>
      </c>
      <c r="B669">
        <v>31499</v>
      </c>
      <c r="C669" t="s">
        <v>6853</v>
      </c>
      <c r="D669" t="s">
        <v>6168</v>
      </c>
    </row>
    <row r="670" spans="1:4">
      <c r="A670" t="s">
        <v>16731</v>
      </c>
      <c r="B670">
        <v>43312</v>
      </c>
      <c r="C670" t="s">
        <v>16732</v>
      </c>
      <c r="D670" t="s">
        <v>134</v>
      </c>
    </row>
    <row r="671" spans="1:4">
      <c r="A671" t="s">
        <v>16752</v>
      </c>
      <c r="B671">
        <v>43326</v>
      </c>
      <c r="C671" t="s">
        <v>16753</v>
      </c>
      <c r="D671" t="s">
        <v>123</v>
      </c>
    </row>
    <row r="672" spans="1:4">
      <c r="A672" t="s">
        <v>16808</v>
      </c>
      <c r="B672">
        <v>43360</v>
      </c>
      <c r="C672" t="s">
        <v>16809</v>
      </c>
      <c r="D672" t="s">
        <v>6168</v>
      </c>
    </row>
    <row r="673" spans="1:4">
      <c r="A673" t="s">
        <v>6854</v>
      </c>
      <c r="B673">
        <v>21600</v>
      </c>
      <c r="C673" t="s">
        <v>6855</v>
      </c>
      <c r="D673" t="s">
        <v>6267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6856</v>
      </c>
      <c r="B675">
        <v>2720</v>
      </c>
      <c r="C675" t="s">
        <v>6857</v>
      </c>
      <c r="D675" t="s">
        <v>6168</v>
      </c>
    </row>
    <row r="676" spans="1:4">
      <c r="A676" t="s">
        <v>6858</v>
      </c>
      <c r="B676">
        <v>31759</v>
      </c>
      <c r="C676" t="s">
        <v>6859</v>
      </c>
      <c r="D676" t="s">
        <v>6168</v>
      </c>
    </row>
    <row r="677" spans="1:4">
      <c r="A677" t="s">
        <v>6860</v>
      </c>
      <c r="B677">
        <v>41772</v>
      </c>
      <c r="C677" t="s">
        <v>6861</v>
      </c>
      <c r="D677" t="s">
        <v>6449</v>
      </c>
    </row>
    <row r="678" spans="1:4">
      <c r="A678" t="s">
        <v>17116</v>
      </c>
      <c r="B678">
        <v>44361</v>
      </c>
      <c r="C678" t="s">
        <v>17117</v>
      </c>
      <c r="D678" t="s">
        <v>6168</v>
      </c>
    </row>
    <row r="679" spans="1:4">
      <c r="A679" t="s">
        <v>6862</v>
      </c>
      <c r="B679">
        <v>9787</v>
      </c>
      <c r="C679" t="s">
        <v>581</v>
      </c>
      <c r="D679" t="s">
        <v>6230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6863</v>
      </c>
      <c r="B681">
        <v>3036</v>
      </c>
      <c r="C681" t="s">
        <v>6864</v>
      </c>
      <c r="D681" t="s">
        <v>6168</v>
      </c>
    </row>
    <row r="682" spans="1:4">
      <c r="A682" t="s">
        <v>6865</v>
      </c>
      <c r="B682">
        <v>32615</v>
      </c>
      <c r="C682" t="s">
        <v>6866</v>
      </c>
      <c r="D682" t="s">
        <v>6168</v>
      </c>
    </row>
    <row r="683" spans="1:4">
      <c r="A683" t="s">
        <v>6867</v>
      </c>
      <c r="B683">
        <v>3037</v>
      </c>
      <c r="C683" t="s">
        <v>4950</v>
      </c>
      <c r="D683" t="s">
        <v>6168</v>
      </c>
    </row>
    <row r="684" spans="1:4">
      <c r="A684" t="s">
        <v>6868</v>
      </c>
      <c r="B684">
        <v>3139</v>
      </c>
      <c r="C684" t="s">
        <v>6417</v>
      </c>
      <c r="D684" t="s">
        <v>6168</v>
      </c>
    </row>
    <row r="685" spans="1:4">
      <c r="A685" t="s">
        <v>6869</v>
      </c>
      <c r="B685">
        <v>3138</v>
      </c>
      <c r="C685" t="s">
        <v>6870</v>
      </c>
      <c r="D685" t="s">
        <v>6168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6871</v>
      </c>
      <c r="B687">
        <v>3327</v>
      </c>
      <c r="D687" t="s">
        <v>6872</v>
      </c>
    </row>
    <row r="688" spans="1:4">
      <c r="A688" t="s">
        <v>16709</v>
      </c>
      <c r="B688">
        <v>43299</v>
      </c>
      <c r="D688" t="s">
        <v>12760</v>
      </c>
    </row>
    <row r="689" spans="1:4">
      <c r="A689" t="s">
        <v>16986</v>
      </c>
      <c r="B689">
        <v>44224</v>
      </c>
      <c r="C689" t="s">
        <v>3391</v>
      </c>
      <c r="D689" t="s">
        <v>123</v>
      </c>
    </row>
    <row r="690" spans="1:4">
      <c r="A690" t="s">
        <v>17013</v>
      </c>
      <c r="B690">
        <v>44273</v>
      </c>
      <c r="C690" t="s">
        <v>17014</v>
      </c>
      <c r="D690" t="s">
        <v>6168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6873</v>
      </c>
      <c r="B692">
        <v>23056</v>
      </c>
      <c r="C692" t="s">
        <v>6874</v>
      </c>
      <c r="D692" t="s">
        <v>6230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6875</v>
      </c>
      <c r="B694">
        <v>30536</v>
      </c>
      <c r="C694" t="s">
        <v>367</v>
      </c>
      <c r="D694" t="s">
        <v>6168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6876</v>
      </c>
      <c r="B697">
        <v>9791</v>
      </c>
      <c r="C697" t="s">
        <v>6417</v>
      </c>
      <c r="D697" t="s">
        <v>6168</v>
      </c>
    </row>
    <row r="698" spans="1:4">
      <c r="A698" t="s">
        <v>6877</v>
      </c>
      <c r="B698">
        <v>3046</v>
      </c>
      <c r="C698" t="s">
        <v>4950</v>
      </c>
      <c r="D698" t="s">
        <v>6168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6878</v>
      </c>
      <c r="B700">
        <v>30727</v>
      </c>
      <c r="C700" t="s">
        <v>6879</v>
      </c>
      <c r="D700" t="s">
        <v>6168</v>
      </c>
    </row>
    <row r="701" spans="1:4">
      <c r="A701" t="s">
        <v>6880</v>
      </c>
      <c r="B701">
        <v>40596</v>
      </c>
      <c r="C701" t="s">
        <v>4950</v>
      </c>
      <c r="D701" t="s">
        <v>6168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6881</v>
      </c>
      <c r="B703">
        <v>3749</v>
      </c>
      <c r="C703" t="s">
        <v>4077</v>
      </c>
      <c r="D703" t="s">
        <v>6168</v>
      </c>
    </row>
    <row r="704" spans="1:4">
      <c r="A704" t="s">
        <v>6882</v>
      </c>
      <c r="B704">
        <v>21601</v>
      </c>
      <c r="C704" t="s">
        <v>776</v>
      </c>
      <c r="D704" t="s">
        <v>6245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6883</v>
      </c>
      <c r="B706">
        <v>5083</v>
      </c>
      <c r="C706" t="s">
        <v>6884</v>
      </c>
      <c r="D706" t="s">
        <v>6168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6885</v>
      </c>
      <c r="B709">
        <v>31097</v>
      </c>
      <c r="C709" t="s">
        <v>1237</v>
      </c>
      <c r="D709" t="s">
        <v>6168</v>
      </c>
    </row>
    <row r="710" spans="1:4">
      <c r="A710" t="s">
        <v>6886</v>
      </c>
      <c r="B710">
        <v>23477</v>
      </c>
      <c r="C710" t="s">
        <v>1273</v>
      </c>
      <c r="D710" t="s">
        <v>6168</v>
      </c>
    </row>
    <row r="711" spans="1:4">
      <c r="A711" t="s">
        <v>6887</v>
      </c>
      <c r="B711">
        <v>21603</v>
      </c>
      <c r="C711" t="s">
        <v>6888</v>
      </c>
      <c r="D711" t="s">
        <v>6168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6889</v>
      </c>
      <c r="B713">
        <v>21605</v>
      </c>
      <c r="D713" t="s">
        <v>6314</v>
      </c>
    </row>
    <row r="714" spans="1:4">
      <c r="A714" t="s">
        <v>6890</v>
      </c>
      <c r="B714">
        <v>23327</v>
      </c>
      <c r="C714" t="s">
        <v>1053</v>
      </c>
      <c r="D714" t="s">
        <v>6292</v>
      </c>
    </row>
    <row r="715" spans="1:4">
      <c r="A715" t="s">
        <v>6891</v>
      </c>
      <c r="B715">
        <v>3901</v>
      </c>
      <c r="C715" t="s">
        <v>6892</v>
      </c>
      <c r="D715" t="s">
        <v>6292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6893</v>
      </c>
      <c r="B717">
        <v>42003</v>
      </c>
      <c r="C717" t="s">
        <v>1201</v>
      </c>
      <c r="D717" t="s">
        <v>6168</v>
      </c>
    </row>
    <row r="718" spans="1:4">
      <c r="A718" t="s">
        <v>6894</v>
      </c>
      <c r="B718">
        <v>34109</v>
      </c>
      <c r="C718" t="s">
        <v>6895</v>
      </c>
      <c r="D718" t="s">
        <v>6168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6896</v>
      </c>
      <c r="B720">
        <v>32529</v>
      </c>
      <c r="C720" t="s">
        <v>6897</v>
      </c>
      <c r="D720" t="s">
        <v>6168</v>
      </c>
    </row>
    <row r="721" spans="1:4">
      <c r="A721" t="s">
        <v>6898</v>
      </c>
      <c r="B721">
        <v>4201</v>
      </c>
      <c r="D721" t="s">
        <v>6267</v>
      </c>
    </row>
    <row r="722" spans="1:4">
      <c r="A722" t="s">
        <v>6899</v>
      </c>
      <c r="B722">
        <v>23252</v>
      </c>
      <c r="C722" t="s">
        <v>6900</v>
      </c>
      <c r="D722" t="s">
        <v>6605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16838</v>
      </c>
      <c r="B724">
        <v>43880</v>
      </c>
      <c r="C724" t="s">
        <v>7223</v>
      </c>
      <c r="D724" t="s">
        <v>6168</v>
      </c>
    </row>
    <row r="725" spans="1:4">
      <c r="A725" t="s">
        <v>17230</v>
      </c>
      <c r="B725">
        <v>45322</v>
      </c>
      <c r="C725" t="s">
        <v>17231</v>
      </c>
      <c r="D725" t="s">
        <v>6168</v>
      </c>
    </row>
    <row r="726" spans="1:4">
      <c r="A726" t="s">
        <v>6901</v>
      </c>
      <c r="B726">
        <v>24507</v>
      </c>
      <c r="C726" t="s">
        <v>6902</v>
      </c>
      <c r="D726" t="s">
        <v>6168</v>
      </c>
    </row>
    <row r="727" spans="1:4">
      <c r="A727" t="s">
        <v>6903</v>
      </c>
      <c r="B727">
        <v>24508</v>
      </c>
      <c r="C727" t="s">
        <v>6620</v>
      </c>
      <c r="D727" t="s">
        <v>6168</v>
      </c>
    </row>
    <row r="728" spans="1:4">
      <c r="A728" t="s">
        <v>6904</v>
      </c>
      <c r="B728">
        <v>24509</v>
      </c>
      <c r="C728" t="s">
        <v>6620</v>
      </c>
      <c r="D728" t="s">
        <v>6168</v>
      </c>
    </row>
    <row r="729" spans="1:4">
      <c r="A729" t="s">
        <v>6905</v>
      </c>
      <c r="B729">
        <v>33876</v>
      </c>
      <c r="C729" t="s">
        <v>6906</v>
      </c>
      <c r="D729" t="s">
        <v>6267</v>
      </c>
    </row>
    <row r="730" spans="1:4">
      <c r="A730" t="s">
        <v>6907</v>
      </c>
      <c r="B730">
        <v>42393</v>
      </c>
      <c r="C730" t="s">
        <v>6908</v>
      </c>
      <c r="D730" t="s">
        <v>6245</v>
      </c>
    </row>
    <row r="731" spans="1:4">
      <c r="A731" t="s">
        <v>6909</v>
      </c>
      <c r="B731">
        <v>3137</v>
      </c>
      <c r="D731" t="s">
        <v>6245</v>
      </c>
    </row>
    <row r="732" spans="1:4">
      <c r="A732" t="s">
        <v>6910</v>
      </c>
      <c r="B732">
        <v>42394</v>
      </c>
      <c r="C732" t="s">
        <v>6911</v>
      </c>
      <c r="D732" t="s">
        <v>6230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6912</v>
      </c>
      <c r="B734">
        <v>26423</v>
      </c>
      <c r="C734" t="s">
        <v>4950</v>
      </c>
      <c r="D734" t="s">
        <v>6168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6913</v>
      </c>
      <c r="B736">
        <v>29193</v>
      </c>
      <c r="C736" t="s">
        <v>6914</v>
      </c>
      <c r="D736" t="s">
        <v>6168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6915</v>
      </c>
      <c r="B738">
        <v>30164</v>
      </c>
      <c r="C738" t="s">
        <v>6916</v>
      </c>
      <c r="D738" t="s">
        <v>6168</v>
      </c>
    </row>
    <row r="739" spans="1:4">
      <c r="A739" t="s">
        <v>6917</v>
      </c>
      <c r="B739">
        <v>24034</v>
      </c>
      <c r="C739" t="s">
        <v>4950</v>
      </c>
      <c r="D739" t="s">
        <v>6168</v>
      </c>
    </row>
    <row r="740" spans="1:4">
      <c r="A740" t="s">
        <v>6918</v>
      </c>
      <c r="B740">
        <v>24035</v>
      </c>
      <c r="C740" t="s">
        <v>4950</v>
      </c>
      <c r="D740" t="s">
        <v>6168</v>
      </c>
    </row>
    <row r="741" spans="1:4">
      <c r="A741" t="s">
        <v>6919</v>
      </c>
      <c r="B741">
        <v>29451</v>
      </c>
      <c r="C741" t="s">
        <v>6920</v>
      </c>
      <c r="D741" t="s">
        <v>6168</v>
      </c>
    </row>
    <row r="742" spans="1:4">
      <c r="A742" t="s">
        <v>6921</v>
      </c>
      <c r="B742">
        <v>30165</v>
      </c>
      <c r="C742" t="s">
        <v>6922</v>
      </c>
      <c r="D742" t="s">
        <v>6168</v>
      </c>
    </row>
    <row r="743" spans="1:4">
      <c r="A743" t="s">
        <v>6923</v>
      </c>
      <c r="B743">
        <v>24036</v>
      </c>
      <c r="C743" t="s">
        <v>6924</v>
      </c>
      <c r="D743" t="s">
        <v>6168</v>
      </c>
    </row>
    <row r="744" spans="1:4">
      <c r="A744" t="s">
        <v>6925</v>
      </c>
      <c r="B744">
        <v>24037</v>
      </c>
      <c r="C744" t="s">
        <v>6851</v>
      </c>
      <c r="D744" t="s">
        <v>6168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6926</v>
      </c>
      <c r="B746">
        <v>30077</v>
      </c>
      <c r="C746" t="s">
        <v>6927</v>
      </c>
      <c r="D746" t="s">
        <v>6168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6928</v>
      </c>
      <c r="B748">
        <v>39646</v>
      </c>
      <c r="C748" t="s">
        <v>6929</v>
      </c>
      <c r="D748" t="s">
        <v>6267</v>
      </c>
    </row>
    <row r="749" spans="1:4">
      <c r="A749" t="s">
        <v>6930</v>
      </c>
      <c r="B749">
        <v>39641</v>
      </c>
      <c r="C749" t="s">
        <v>3579</v>
      </c>
      <c r="D749" t="s">
        <v>6314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6931</v>
      </c>
      <c r="B751">
        <v>30776</v>
      </c>
      <c r="C751" t="s">
        <v>6558</v>
      </c>
      <c r="D751" t="s">
        <v>6168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6932</v>
      </c>
      <c r="B753">
        <v>35277</v>
      </c>
      <c r="C753" t="s">
        <v>261</v>
      </c>
      <c r="D753" t="s">
        <v>6248</v>
      </c>
    </row>
    <row r="754" spans="1:4">
      <c r="A754" t="s">
        <v>6933</v>
      </c>
      <c r="B754">
        <v>35602</v>
      </c>
      <c r="C754" t="s">
        <v>6934</v>
      </c>
      <c r="D754" t="s">
        <v>6168</v>
      </c>
    </row>
    <row r="755" spans="1:4">
      <c r="A755" t="s">
        <v>6935</v>
      </c>
      <c r="B755">
        <v>30170</v>
      </c>
      <c r="C755" t="s">
        <v>261</v>
      </c>
      <c r="D755" t="s">
        <v>6248</v>
      </c>
    </row>
    <row r="756" spans="1:4">
      <c r="A756" t="s">
        <v>6936</v>
      </c>
      <c r="B756">
        <v>35329</v>
      </c>
      <c r="C756" t="s">
        <v>6937</v>
      </c>
      <c r="D756" t="s">
        <v>6168</v>
      </c>
    </row>
    <row r="757" spans="1:4">
      <c r="A757" t="s">
        <v>6938</v>
      </c>
      <c r="B757">
        <v>29870</v>
      </c>
      <c r="C757" t="s">
        <v>6939</v>
      </c>
      <c r="D757" t="s">
        <v>6168</v>
      </c>
    </row>
    <row r="758" spans="1:4">
      <c r="A758" t="s">
        <v>6940</v>
      </c>
      <c r="B758">
        <v>31125</v>
      </c>
      <c r="C758" t="s">
        <v>6934</v>
      </c>
      <c r="D758" t="s">
        <v>6168</v>
      </c>
    </row>
    <row r="759" spans="1:4">
      <c r="A759" t="s">
        <v>6941</v>
      </c>
      <c r="B759">
        <v>29869</v>
      </c>
      <c r="C759" t="s">
        <v>6939</v>
      </c>
      <c r="D759" t="s">
        <v>6168</v>
      </c>
    </row>
    <row r="760" spans="1:4">
      <c r="A760" t="s">
        <v>6942</v>
      </c>
      <c r="B760">
        <v>23199</v>
      </c>
      <c r="C760" t="s">
        <v>6943</v>
      </c>
      <c r="D760" t="s">
        <v>6245</v>
      </c>
    </row>
    <row r="761" spans="1:4">
      <c r="A761" t="s">
        <v>6944</v>
      </c>
      <c r="B761">
        <v>4411</v>
      </c>
      <c r="D761" t="s">
        <v>6245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6945</v>
      </c>
      <c r="B764">
        <v>42159</v>
      </c>
      <c r="C764" t="s">
        <v>6946</v>
      </c>
      <c r="D764" t="s">
        <v>6168</v>
      </c>
    </row>
    <row r="765" spans="1:4">
      <c r="A765" t="s">
        <v>16999</v>
      </c>
      <c r="B765">
        <v>44261</v>
      </c>
      <c r="C765" t="s">
        <v>17000</v>
      </c>
      <c r="D765" t="s">
        <v>134</v>
      </c>
    </row>
    <row r="766" spans="1:4">
      <c r="A766" t="s">
        <v>6947</v>
      </c>
      <c r="B766">
        <v>4158</v>
      </c>
      <c r="C766" t="s">
        <v>1402</v>
      </c>
      <c r="D766" t="s">
        <v>6605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6948</v>
      </c>
      <c r="B768">
        <v>24510</v>
      </c>
      <c r="C768" t="s">
        <v>6190</v>
      </c>
      <c r="D768" t="s">
        <v>6168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6949</v>
      </c>
      <c r="B770">
        <v>23268</v>
      </c>
      <c r="C770" t="s">
        <v>6950</v>
      </c>
      <c r="D770" t="s">
        <v>6230</v>
      </c>
    </row>
    <row r="771" spans="1:4">
      <c r="A771" t="s">
        <v>6951</v>
      </c>
      <c r="B771">
        <v>31881</v>
      </c>
      <c r="C771" t="s">
        <v>6952</v>
      </c>
      <c r="D771" t="s">
        <v>6314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6953</v>
      </c>
      <c r="B774">
        <v>21607</v>
      </c>
      <c r="C774" t="s">
        <v>6954</v>
      </c>
      <c r="D774" t="s">
        <v>6168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6955</v>
      </c>
      <c r="B776">
        <v>21609</v>
      </c>
      <c r="C776" t="s">
        <v>540</v>
      </c>
      <c r="D776" t="s">
        <v>6168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6956</v>
      </c>
      <c r="B779">
        <v>21611</v>
      </c>
      <c r="C779" t="s">
        <v>6957</v>
      </c>
      <c r="D779" t="s">
        <v>6168</v>
      </c>
    </row>
    <row r="780" spans="1:4">
      <c r="A780" t="s">
        <v>6958</v>
      </c>
      <c r="B780">
        <v>27396</v>
      </c>
      <c r="C780" t="s">
        <v>6959</v>
      </c>
      <c r="D780" t="s">
        <v>6168</v>
      </c>
    </row>
    <row r="781" spans="1:4">
      <c r="A781" t="s">
        <v>6960</v>
      </c>
      <c r="B781">
        <v>21612</v>
      </c>
      <c r="C781" t="s">
        <v>6961</v>
      </c>
      <c r="D781" t="s">
        <v>6168</v>
      </c>
    </row>
    <row r="782" spans="1:4">
      <c r="A782" t="s">
        <v>6962</v>
      </c>
      <c r="B782">
        <v>29452</v>
      </c>
      <c r="D782" t="s">
        <v>6245</v>
      </c>
    </row>
    <row r="783" spans="1:4">
      <c r="A783" t="s">
        <v>16938</v>
      </c>
      <c r="B783">
        <v>44002</v>
      </c>
      <c r="C783" t="s">
        <v>136</v>
      </c>
      <c r="D783" t="s">
        <v>123</v>
      </c>
    </row>
    <row r="784" spans="1:4">
      <c r="A784" t="s">
        <v>16839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6963</v>
      </c>
      <c r="B786">
        <v>38925</v>
      </c>
      <c r="C786" t="s">
        <v>6964</v>
      </c>
      <c r="D786" t="s">
        <v>6168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6965</v>
      </c>
      <c r="B788">
        <v>9848</v>
      </c>
      <c r="C788" t="s">
        <v>6966</v>
      </c>
      <c r="D788" t="s">
        <v>6168</v>
      </c>
    </row>
    <row r="789" spans="1:4">
      <c r="A789" t="s">
        <v>6967</v>
      </c>
      <c r="B789">
        <v>25730</v>
      </c>
      <c r="D789" t="s">
        <v>6168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6968</v>
      </c>
      <c r="B791">
        <v>35116</v>
      </c>
      <c r="C791" t="s">
        <v>6969</v>
      </c>
      <c r="D791" t="s">
        <v>6168</v>
      </c>
    </row>
    <row r="792" spans="1:4">
      <c r="A792" t="s">
        <v>16716</v>
      </c>
      <c r="B792">
        <v>43303</v>
      </c>
      <c r="D792" t="s">
        <v>6292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6970</v>
      </c>
      <c r="B794">
        <v>23996</v>
      </c>
      <c r="C794" t="s">
        <v>6971</v>
      </c>
      <c r="D794" t="s">
        <v>6168</v>
      </c>
    </row>
    <row r="795" spans="1:4">
      <c r="A795" t="s">
        <v>6972</v>
      </c>
      <c r="B795">
        <v>23997</v>
      </c>
      <c r="C795" t="s">
        <v>2633</v>
      </c>
      <c r="D795" t="s">
        <v>6168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6973</v>
      </c>
      <c r="B797">
        <v>24512</v>
      </c>
      <c r="C797" t="s">
        <v>6974</v>
      </c>
      <c r="D797" t="s">
        <v>6168</v>
      </c>
    </row>
    <row r="798" spans="1:4">
      <c r="A798" t="s">
        <v>6975</v>
      </c>
      <c r="B798">
        <v>31124</v>
      </c>
      <c r="C798" t="s">
        <v>6976</v>
      </c>
      <c r="D798" t="s">
        <v>6168</v>
      </c>
    </row>
    <row r="799" spans="1:4">
      <c r="A799" t="s">
        <v>6977</v>
      </c>
      <c r="B799">
        <v>23998</v>
      </c>
      <c r="C799" t="s">
        <v>964</v>
      </c>
      <c r="D799" t="s">
        <v>6168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6978</v>
      </c>
      <c r="B801">
        <v>33877</v>
      </c>
      <c r="C801" t="s">
        <v>1223</v>
      </c>
      <c r="D801" t="s">
        <v>6314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6979</v>
      </c>
      <c r="B803">
        <v>43407</v>
      </c>
      <c r="C803" t="s">
        <v>6980</v>
      </c>
      <c r="D803" t="s">
        <v>6168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6981</v>
      </c>
      <c r="B805">
        <v>42592</v>
      </c>
      <c r="C805" t="s">
        <v>6568</v>
      </c>
      <c r="D805" t="s">
        <v>6168</v>
      </c>
    </row>
    <row r="806" spans="1:4">
      <c r="A806" t="s">
        <v>6982</v>
      </c>
      <c r="B806">
        <v>3136</v>
      </c>
      <c r="D806" t="s">
        <v>6267</v>
      </c>
    </row>
    <row r="807" spans="1:4">
      <c r="A807" t="s">
        <v>6983</v>
      </c>
      <c r="B807">
        <v>941</v>
      </c>
      <c r="D807" t="s">
        <v>6605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6984</v>
      </c>
      <c r="B809">
        <v>24513</v>
      </c>
      <c r="C809" t="s">
        <v>6985</v>
      </c>
      <c r="D809" t="s">
        <v>6168</v>
      </c>
    </row>
    <row r="810" spans="1:4">
      <c r="A810" t="s">
        <v>6986</v>
      </c>
      <c r="B810">
        <v>24514</v>
      </c>
      <c r="C810" t="s">
        <v>6987</v>
      </c>
      <c r="D810" t="s">
        <v>6168</v>
      </c>
    </row>
    <row r="811" spans="1:4">
      <c r="A811" t="s">
        <v>6988</v>
      </c>
      <c r="B811">
        <v>42735</v>
      </c>
      <c r="C811" t="s">
        <v>6596</v>
      </c>
      <c r="D811" t="s">
        <v>6168</v>
      </c>
    </row>
    <row r="812" spans="1:4">
      <c r="A812" t="s">
        <v>6989</v>
      </c>
      <c r="B812">
        <v>35208</v>
      </c>
      <c r="C812" t="s">
        <v>6990</v>
      </c>
      <c r="D812" t="s">
        <v>6168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6991</v>
      </c>
      <c r="B815">
        <v>2714</v>
      </c>
      <c r="C815" t="s">
        <v>6992</v>
      </c>
      <c r="D815" t="s">
        <v>6168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17563</v>
      </c>
      <c r="B817">
        <v>46833</v>
      </c>
      <c r="C817" t="s">
        <v>17564</v>
      </c>
      <c r="D817" t="s">
        <v>6168</v>
      </c>
    </row>
    <row r="818" spans="1:4">
      <c r="A818" t="s">
        <v>6993</v>
      </c>
      <c r="B818">
        <v>24040</v>
      </c>
      <c r="C818" t="s">
        <v>6974</v>
      </c>
      <c r="D818" t="s">
        <v>6168</v>
      </c>
    </row>
    <row r="819" spans="1:4">
      <c r="A819" t="s">
        <v>6994</v>
      </c>
      <c r="B819">
        <v>30166</v>
      </c>
      <c r="C819" t="s">
        <v>6995</v>
      </c>
      <c r="D819" t="s">
        <v>6168</v>
      </c>
    </row>
    <row r="820" spans="1:4">
      <c r="A820" t="s">
        <v>6996</v>
      </c>
      <c r="B820">
        <v>26421</v>
      </c>
      <c r="C820" t="s">
        <v>6853</v>
      </c>
      <c r="D820" t="s">
        <v>6168</v>
      </c>
    </row>
    <row r="821" spans="1:4">
      <c r="A821" t="s">
        <v>6997</v>
      </c>
      <c r="B821">
        <v>4287</v>
      </c>
      <c r="C821" t="s">
        <v>6998</v>
      </c>
      <c r="D821" t="s">
        <v>6168</v>
      </c>
    </row>
    <row r="822" spans="1:4">
      <c r="A822" t="s">
        <v>6999</v>
      </c>
      <c r="B822">
        <v>24041</v>
      </c>
      <c r="C822" t="s">
        <v>2691</v>
      </c>
      <c r="D822" t="s">
        <v>6168</v>
      </c>
    </row>
    <row r="823" spans="1:4">
      <c r="A823" t="s">
        <v>7000</v>
      </c>
      <c r="B823">
        <v>24042</v>
      </c>
      <c r="C823" t="s">
        <v>2624</v>
      </c>
      <c r="D823" t="s">
        <v>6168</v>
      </c>
    </row>
    <row r="824" spans="1:4">
      <c r="A824" t="s">
        <v>7001</v>
      </c>
      <c r="B824">
        <v>30167</v>
      </c>
      <c r="C824" t="s">
        <v>7002</v>
      </c>
      <c r="D824" t="s">
        <v>6168</v>
      </c>
    </row>
    <row r="825" spans="1:4">
      <c r="A825" t="s">
        <v>7003</v>
      </c>
      <c r="B825">
        <v>4383</v>
      </c>
      <c r="C825" t="s">
        <v>3065</v>
      </c>
      <c r="D825" t="s">
        <v>6245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7004</v>
      </c>
      <c r="B827">
        <v>29608</v>
      </c>
      <c r="C827" t="s">
        <v>7005</v>
      </c>
      <c r="D827" t="s">
        <v>6168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7006</v>
      </c>
      <c r="B829">
        <v>23999</v>
      </c>
      <c r="C829" t="s">
        <v>1273</v>
      </c>
      <c r="D829" t="s">
        <v>6168</v>
      </c>
    </row>
    <row r="830" spans="1:4">
      <c r="A830" t="s">
        <v>7007</v>
      </c>
      <c r="B830">
        <v>27410</v>
      </c>
      <c r="C830" t="s">
        <v>7008</v>
      </c>
      <c r="D830" t="s">
        <v>6168</v>
      </c>
    </row>
    <row r="831" spans="1:4">
      <c r="A831" t="s">
        <v>7009</v>
      </c>
      <c r="B831">
        <v>33878</v>
      </c>
      <c r="C831" t="s">
        <v>7010</v>
      </c>
      <c r="D831" t="s">
        <v>6168</v>
      </c>
    </row>
    <row r="832" spans="1:4">
      <c r="A832" t="s">
        <v>7011</v>
      </c>
      <c r="B832">
        <v>27411</v>
      </c>
      <c r="C832" t="s">
        <v>2374</v>
      </c>
      <c r="D832" t="s">
        <v>6168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7012</v>
      </c>
      <c r="B834">
        <v>24000</v>
      </c>
      <c r="D834" t="s">
        <v>6230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7013</v>
      </c>
      <c r="B836">
        <v>27370</v>
      </c>
      <c r="C836" t="s">
        <v>7014</v>
      </c>
      <c r="D836" t="s">
        <v>6168</v>
      </c>
    </row>
    <row r="837" spans="1:4">
      <c r="A837" t="s">
        <v>7015</v>
      </c>
      <c r="B837">
        <v>21614</v>
      </c>
      <c r="C837" t="s">
        <v>581</v>
      </c>
      <c r="D837" t="s">
        <v>6168</v>
      </c>
    </row>
    <row r="838" spans="1:4">
      <c r="A838" t="s">
        <v>7016</v>
      </c>
      <c r="B838">
        <v>21615</v>
      </c>
      <c r="C838" t="s">
        <v>7017</v>
      </c>
      <c r="D838" t="s">
        <v>6168</v>
      </c>
    </row>
    <row r="839" spans="1:4">
      <c r="A839" t="s">
        <v>7018</v>
      </c>
      <c r="B839">
        <v>21616</v>
      </c>
      <c r="C839" t="s">
        <v>581</v>
      </c>
      <c r="D839" t="s">
        <v>6168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17232</v>
      </c>
      <c r="B841">
        <v>45323</v>
      </c>
      <c r="C841" t="s">
        <v>4537</v>
      </c>
      <c r="D841" t="s">
        <v>6248</v>
      </c>
    </row>
    <row r="842" spans="1:4">
      <c r="A842" t="s">
        <v>17373</v>
      </c>
      <c r="B842">
        <v>45471</v>
      </c>
      <c r="C842" t="s">
        <v>17374</v>
      </c>
      <c r="D842" t="s">
        <v>6168</v>
      </c>
    </row>
    <row r="843" spans="1:4">
      <c r="A843" t="s">
        <v>7019</v>
      </c>
      <c r="B843">
        <v>31197</v>
      </c>
      <c r="C843" t="s">
        <v>7020</v>
      </c>
      <c r="D843" t="s">
        <v>6248</v>
      </c>
    </row>
    <row r="844" spans="1:4">
      <c r="A844" t="s">
        <v>7021</v>
      </c>
      <c r="B844">
        <v>31234</v>
      </c>
      <c r="C844" t="s">
        <v>7022</v>
      </c>
      <c r="D844" t="s">
        <v>6168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7023</v>
      </c>
      <c r="B847">
        <v>30770</v>
      </c>
      <c r="C847" t="s">
        <v>6493</v>
      </c>
      <c r="D847" t="s">
        <v>6168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7024</v>
      </c>
      <c r="B849">
        <v>2747</v>
      </c>
      <c r="C849" t="s">
        <v>1507</v>
      </c>
      <c r="D849" t="s">
        <v>6168</v>
      </c>
    </row>
    <row r="850" spans="1:4">
      <c r="A850" t="s">
        <v>7025</v>
      </c>
      <c r="B850">
        <v>39808</v>
      </c>
      <c r="C850" t="s">
        <v>7026</v>
      </c>
      <c r="D850" t="s">
        <v>6230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7027</v>
      </c>
      <c r="B852">
        <v>3031</v>
      </c>
      <c r="C852" t="s">
        <v>6417</v>
      </c>
      <c r="D852" t="s">
        <v>6168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7028</v>
      </c>
      <c r="B855">
        <v>31298</v>
      </c>
      <c r="C855" t="s">
        <v>7029</v>
      </c>
      <c r="D855" t="s">
        <v>6168</v>
      </c>
    </row>
    <row r="856" spans="1:4">
      <c r="A856" t="s">
        <v>7030</v>
      </c>
      <c r="B856">
        <v>29616</v>
      </c>
      <c r="C856" t="s">
        <v>7031</v>
      </c>
      <c r="D856" t="s">
        <v>6168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17429</v>
      </c>
      <c r="B858">
        <v>45718</v>
      </c>
      <c r="C858" t="s">
        <v>1253</v>
      </c>
      <c r="D858" t="s">
        <v>123</v>
      </c>
    </row>
    <row r="859" spans="1:4">
      <c r="A859" t="s">
        <v>17375</v>
      </c>
      <c r="B859">
        <v>45472</v>
      </c>
      <c r="C859" t="s">
        <v>3287</v>
      </c>
      <c r="D859" t="s">
        <v>134</v>
      </c>
    </row>
    <row r="860" spans="1:4">
      <c r="A860" t="s">
        <v>7032</v>
      </c>
      <c r="B860">
        <v>21619</v>
      </c>
      <c r="D860" t="s">
        <v>6314</v>
      </c>
    </row>
    <row r="861" spans="1:4">
      <c r="A861" t="s">
        <v>7033</v>
      </c>
      <c r="B861">
        <v>26420</v>
      </c>
      <c r="C861" t="s">
        <v>7034</v>
      </c>
      <c r="D861" t="s">
        <v>6245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7035</v>
      </c>
      <c r="B864">
        <v>34111</v>
      </c>
      <c r="C864" t="s">
        <v>7036</v>
      </c>
      <c r="D864" t="s">
        <v>6168</v>
      </c>
    </row>
    <row r="865" spans="1:4">
      <c r="A865" t="s">
        <v>7037</v>
      </c>
      <c r="B865">
        <v>23365</v>
      </c>
      <c r="C865" t="s">
        <v>4573</v>
      </c>
      <c r="D865" t="s">
        <v>6245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7038</v>
      </c>
      <c r="B867">
        <v>31081</v>
      </c>
      <c r="C867" t="s">
        <v>7039</v>
      </c>
      <c r="D867" t="s">
        <v>6168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7040</v>
      </c>
      <c r="B869">
        <v>40594</v>
      </c>
      <c r="C869" t="s">
        <v>7410</v>
      </c>
      <c r="D869" t="s">
        <v>6168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7041</v>
      </c>
      <c r="B871">
        <v>31480</v>
      </c>
      <c r="C871" t="s">
        <v>1301</v>
      </c>
      <c r="D871" t="s">
        <v>6168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7042</v>
      </c>
      <c r="B874">
        <v>25055</v>
      </c>
      <c r="C874" t="s">
        <v>7043</v>
      </c>
      <c r="D874" t="s">
        <v>6168</v>
      </c>
    </row>
    <row r="875" spans="1:4">
      <c r="A875" t="s">
        <v>7044</v>
      </c>
      <c r="B875">
        <v>30174</v>
      </c>
      <c r="C875" t="s">
        <v>7045</v>
      </c>
      <c r="D875" t="s">
        <v>6168</v>
      </c>
    </row>
    <row r="876" spans="1:4">
      <c r="A876" t="s">
        <v>7046</v>
      </c>
      <c r="B876">
        <v>30168</v>
      </c>
      <c r="C876" t="s">
        <v>7047</v>
      </c>
      <c r="D876" t="s">
        <v>6168</v>
      </c>
    </row>
    <row r="877" spans="1:4">
      <c r="A877" t="s">
        <v>7048</v>
      </c>
      <c r="B877">
        <v>35225</v>
      </c>
      <c r="C877" t="s">
        <v>7049</v>
      </c>
      <c r="D877" t="s">
        <v>6168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7050</v>
      </c>
      <c r="B880">
        <v>29731</v>
      </c>
      <c r="C880" t="s">
        <v>4950</v>
      </c>
      <c r="D880" t="s">
        <v>6168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7051</v>
      </c>
      <c r="B883">
        <v>42007</v>
      </c>
      <c r="C883" t="s">
        <v>7052</v>
      </c>
      <c r="D883" t="s">
        <v>6168</v>
      </c>
    </row>
    <row r="884" spans="1:4">
      <c r="A884" t="s">
        <v>7053</v>
      </c>
      <c r="B884">
        <v>35287</v>
      </c>
      <c r="C884" t="s">
        <v>7054</v>
      </c>
      <c r="D884" t="s">
        <v>6168</v>
      </c>
    </row>
    <row r="885" spans="1:4">
      <c r="A885" t="s">
        <v>7055</v>
      </c>
      <c r="B885">
        <v>25297</v>
      </c>
      <c r="C885" t="s">
        <v>6190</v>
      </c>
      <c r="D885" t="s">
        <v>6168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7056</v>
      </c>
      <c r="B887">
        <v>24517</v>
      </c>
      <c r="C887" t="s">
        <v>148</v>
      </c>
      <c r="D887" t="s">
        <v>6267</v>
      </c>
    </row>
    <row r="888" spans="1:4">
      <c r="A888" t="s">
        <v>7057</v>
      </c>
      <c r="B888">
        <v>24001</v>
      </c>
      <c r="C888" t="s">
        <v>148</v>
      </c>
      <c r="D888" t="s">
        <v>6314</v>
      </c>
    </row>
    <row r="889" spans="1:4">
      <c r="A889" t="s">
        <v>7058</v>
      </c>
      <c r="B889">
        <v>23449</v>
      </c>
      <c r="C889" t="s">
        <v>7059</v>
      </c>
      <c r="D889" t="s">
        <v>6230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7060</v>
      </c>
      <c r="B891">
        <v>25298</v>
      </c>
      <c r="C891" t="s">
        <v>1173</v>
      </c>
      <c r="D891" t="s">
        <v>6168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7061</v>
      </c>
      <c r="B893">
        <v>31760</v>
      </c>
      <c r="C893" t="s">
        <v>7062</v>
      </c>
      <c r="D893" t="s">
        <v>6168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7063</v>
      </c>
      <c r="B895">
        <v>31086</v>
      </c>
      <c r="C895" t="s">
        <v>6317</v>
      </c>
      <c r="D895" t="s">
        <v>6168</v>
      </c>
    </row>
    <row r="896" spans="1:4">
      <c r="A896" t="s">
        <v>7064</v>
      </c>
      <c r="B896">
        <v>30175</v>
      </c>
      <c r="C896" t="s">
        <v>7065</v>
      </c>
      <c r="D896" t="s">
        <v>6168</v>
      </c>
    </row>
    <row r="897" spans="1:4">
      <c r="A897" t="s">
        <v>7066</v>
      </c>
      <c r="B897">
        <v>25059</v>
      </c>
      <c r="C897" t="s">
        <v>6317</v>
      </c>
      <c r="D897" t="s">
        <v>6168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7067</v>
      </c>
      <c r="B899">
        <v>3324</v>
      </c>
      <c r="C899" t="s">
        <v>7068</v>
      </c>
      <c r="D899" t="s">
        <v>6605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7069</v>
      </c>
      <c r="B901">
        <v>36305</v>
      </c>
      <c r="C901" t="s">
        <v>7070</v>
      </c>
      <c r="D901" t="s">
        <v>6168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7071</v>
      </c>
      <c r="B903">
        <v>4545</v>
      </c>
      <c r="C903" t="s">
        <v>4950</v>
      </c>
      <c r="D903" t="s">
        <v>6168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7072</v>
      </c>
      <c r="B905">
        <v>4542</v>
      </c>
      <c r="C905" t="s">
        <v>5367</v>
      </c>
      <c r="D905" t="s">
        <v>6245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7073</v>
      </c>
      <c r="B907">
        <v>21620</v>
      </c>
      <c r="C907" t="s">
        <v>3194</v>
      </c>
      <c r="D907" t="s">
        <v>6168</v>
      </c>
    </row>
    <row r="908" spans="1:4">
      <c r="A908" t="s">
        <v>7074</v>
      </c>
      <c r="B908">
        <v>27373</v>
      </c>
      <c r="C908" t="s">
        <v>7075</v>
      </c>
      <c r="D908" t="s">
        <v>6168</v>
      </c>
    </row>
    <row r="909" spans="1:4">
      <c r="A909" t="s">
        <v>7076</v>
      </c>
      <c r="B909">
        <v>35288</v>
      </c>
      <c r="C909" t="s">
        <v>4381</v>
      </c>
      <c r="D909" t="s">
        <v>6168</v>
      </c>
    </row>
    <row r="910" spans="1:4">
      <c r="A910" t="s">
        <v>7077</v>
      </c>
      <c r="B910">
        <v>27372</v>
      </c>
      <c r="C910" t="s">
        <v>7078</v>
      </c>
      <c r="D910" t="s">
        <v>6168</v>
      </c>
    </row>
    <row r="911" spans="1:4">
      <c r="A911" t="s">
        <v>7079</v>
      </c>
      <c r="B911">
        <v>21621</v>
      </c>
      <c r="C911" t="s">
        <v>7080</v>
      </c>
      <c r="D911" t="s">
        <v>6168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7081</v>
      </c>
      <c r="B913">
        <v>24002</v>
      </c>
      <c r="C913" t="s">
        <v>3067</v>
      </c>
      <c r="D913" t="s">
        <v>6267</v>
      </c>
    </row>
    <row r="914" spans="1:4">
      <c r="A914" t="s">
        <v>7082</v>
      </c>
      <c r="B914">
        <v>26195</v>
      </c>
      <c r="D914" t="s">
        <v>6292</v>
      </c>
    </row>
    <row r="915" spans="1:4">
      <c r="A915" t="s">
        <v>7083</v>
      </c>
      <c r="B915">
        <v>4097</v>
      </c>
      <c r="C915" t="s">
        <v>3612</v>
      </c>
      <c r="D915" t="s">
        <v>6245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7084</v>
      </c>
      <c r="B917">
        <v>21623</v>
      </c>
      <c r="C917" t="s">
        <v>829</v>
      </c>
      <c r="D917" t="s">
        <v>6168</v>
      </c>
    </row>
    <row r="918" spans="1:4">
      <c r="A918" t="s">
        <v>7085</v>
      </c>
      <c r="B918">
        <v>23508</v>
      </c>
      <c r="D918" t="s">
        <v>6245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7086</v>
      </c>
      <c r="B921">
        <v>29630</v>
      </c>
      <c r="C921" t="s">
        <v>7087</v>
      </c>
      <c r="D921" t="s">
        <v>6168</v>
      </c>
    </row>
    <row r="922" spans="1:4">
      <c r="A922" t="s">
        <v>7088</v>
      </c>
      <c r="B922">
        <v>39464</v>
      </c>
      <c r="C922" t="s">
        <v>7089</v>
      </c>
      <c r="D922" t="s">
        <v>6322</v>
      </c>
    </row>
    <row r="923" spans="1:4">
      <c r="A923" t="s">
        <v>7090</v>
      </c>
      <c r="B923">
        <v>21624</v>
      </c>
      <c r="D923" t="s">
        <v>6245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7091</v>
      </c>
      <c r="B925">
        <v>21626</v>
      </c>
      <c r="C925" t="s">
        <v>823</v>
      </c>
      <c r="D925" t="s">
        <v>6168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7092</v>
      </c>
      <c r="B927">
        <v>21628</v>
      </c>
      <c r="D927" t="s">
        <v>6314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7093</v>
      </c>
      <c r="B929">
        <v>21630</v>
      </c>
      <c r="C929" t="s">
        <v>2310</v>
      </c>
      <c r="D929" t="s">
        <v>6267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7094</v>
      </c>
      <c r="B931">
        <v>21632</v>
      </c>
      <c r="C931" t="s">
        <v>6219</v>
      </c>
      <c r="D931" t="s">
        <v>6168</v>
      </c>
    </row>
    <row r="932" spans="1:4">
      <c r="A932" t="s">
        <v>7095</v>
      </c>
      <c r="B932">
        <v>4200</v>
      </c>
      <c r="C932" t="s">
        <v>4279</v>
      </c>
      <c r="D932" t="s">
        <v>6245</v>
      </c>
    </row>
    <row r="933" spans="1:4">
      <c r="A933" t="s">
        <v>7096</v>
      </c>
      <c r="B933">
        <v>21633</v>
      </c>
      <c r="D933" t="s">
        <v>6314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7097</v>
      </c>
      <c r="B935">
        <v>30177</v>
      </c>
      <c r="C935" t="s">
        <v>4950</v>
      </c>
      <c r="D935" t="s">
        <v>6168</v>
      </c>
    </row>
    <row r="936" spans="1:4">
      <c r="A936" t="s">
        <v>7098</v>
      </c>
      <c r="B936">
        <v>26418</v>
      </c>
      <c r="C936" t="s">
        <v>6914</v>
      </c>
      <c r="D936" t="s">
        <v>6168</v>
      </c>
    </row>
    <row r="937" spans="1:4">
      <c r="A937" t="s">
        <v>7099</v>
      </c>
      <c r="B937">
        <v>27393</v>
      </c>
      <c r="C937" t="s">
        <v>7100</v>
      </c>
      <c r="D937" t="s">
        <v>6168</v>
      </c>
    </row>
    <row r="938" spans="1:4">
      <c r="A938" t="s">
        <v>17233</v>
      </c>
      <c r="B938">
        <v>45324</v>
      </c>
      <c r="C938" t="s">
        <v>2707</v>
      </c>
      <c r="D938" t="s">
        <v>123</v>
      </c>
    </row>
    <row r="939" spans="1:4">
      <c r="A939" t="s">
        <v>17376</v>
      </c>
      <c r="B939">
        <v>45473</v>
      </c>
      <c r="C939" t="s">
        <v>4950</v>
      </c>
      <c r="D939" t="s">
        <v>6168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7101</v>
      </c>
      <c r="B941">
        <v>21637</v>
      </c>
      <c r="C941" t="s">
        <v>7102</v>
      </c>
      <c r="D941" t="s">
        <v>6168</v>
      </c>
    </row>
    <row r="942" spans="1:4">
      <c r="A942" t="s">
        <v>17542</v>
      </c>
      <c r="B942">
        <v>45971</v>
      </c>
      <c r="C942" t="s">
        <v>17543</v>
      </c>
      <c r="D942" t="s">
        <v>123</v>
      </c>
    </row>
    <row r="943" spans="1:4">
      <c r="A943" t="s">
        <v>17565</v>
      </c>
      <c r="B943">
        <v>46835</v>
      </c>
      <c r="C943" t="s">
        <v>17566</v>
      </c>
      <c r="D943" t="s">
        <v>6168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7103</v>
      </c>
      <c r="B945">
        <v>38216</v>
      </c>
      <c r="C945" t="s">
        <v>6219</v>
      </c>
      <c r="D945" t="s">
        <v>6168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7104</v>
      </c>
      <c r="B947">
        <v>38213</v>
      </c>
      <c r="C947" t="s">
        <v>5610</v>
      </c>
      <c r="D947" t="s">
        <v>6314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7105</v>
      </c>
      <c r="B949">
        <v>711</v>
      </c>
      <c r="C949" t="s">
        <v>7106</v>
      </c>
      <c r="D949" t="s">
        <v>6168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7107</v>
      </c>
      <c r="B952">
        <v>21638</v>
      </c>
      <c r="D952" t="s">
        <v>6230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7108</v>
      </c>
      <c r="B954">
        <v>24519</v>
      </c>
      <c r="C954" t="s">
        <v>7109</v>
      </c>
      <c r="D954" t="s">
        <v>6168</v>
      </c>
    </row>
    <row r="955" spans="1:4">
      <c r="A955" t="s">
        <v>7110</v>
      </c>
      <c r="B955">
        <v>24520</v>
      </c>
      <c r="C955" t="s">
        <v>7111</v>
      </c>
      <c r="D955" t="s">
        <v>6168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7112</v>
      </c>
      <c r="B958">
        <v>35388</v>
      </c>
      <c r="C958" t="s">
        <v>7113</v>
      </c>
      <c r="D958" t="s">
        <v>6168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7114</v>
      </c>
      <c r="B960">
        <v>129</v>
      </c>
      <c r="C960" t="s">
        <v>7115</v>
      </c>
      <c r="D960" t="s">
        <v>6168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7116</v>
      </c>
      <c r="B962">
        <v>42008</v>
      </c>
      <c r="C962" t="s">
        <v>7117</v>
      </c>
      <c r="D962" t="s">
        <v>6168</v>
      </c>
    </row>
    <row r="963" spans="1:4">
      <c r="A963" t="s">
        <v>7118</v>
      </c>
      <c r="B963">
        <v>24521</v>
      </c>
      <c r="C963" t="s">
        <v>4950</v>
      </c>
      <c r="D963" t="s">
        <v>6168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7119</v>
      </c>
      <c r="B966">
        <v>26417</v>
      </c>
      <c r="C966" t="s">
        <v>7120</v>
      </c>
      <c r="D966" t="s">
        <v>6168</v>
      </c>
    </row>
    <row r="967" spans="1:4">
      <c r="A967" t="s">
        <v>7121</v>
      </c>
      <c r="B967">
        <v>24522</v>
      </c>
      <c r="C967" t="s">
        <v>2918</v>
      </c>
      <c r="D967" t="s">
        <v>6168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7122</v>
      </c>
      <c r="B969">
        <v>27255</v>
      </c>
      <c r="D969" t="s">
        <v>6168</v>
      </c>
    </row>
    <row r="970" spans="1:4">
      <c r="A970" t="s">
        <v>7123</v>
      </c>
      <c r="B970">
        <v>20491</v>
      </c>
      <c r="C970" t="s">
        <v>7124</v>
      </c>
      <c r="D970" t="s">
        <v>6168</v>
      </c>
    </row>
    <row r="971" spans="1:4">
      <c r="A971" t="s">
        <v>7125</v>
      </c>
      <c r="B971">
        <v>27257</v>
      </c>
      <c r="C971" t="s">
        <v>7126</v>
      </c>
      <c r="D971" t="s">
        <v>6168</v>
      </c>
    </row>
    <row r="972" spans="1:4">
      <c r="A972" t="s">
        <v>7127</v>
      </c>
      <c r="B972">
        <v>21639</v>
      </c>
      <c r="C972" t="s">
        <v>7128</v>
      </c>
      <c r="D972" t="s">
        <v>6168</v>
      </c>
    </row>
    <row r="973" spans="1:4">
      <c r="A973" t="s">
        <v>7129</v>
      </c>
      <c r="B973">
        <v>21640</v>
      </c>
      <c r="C973" t="s">
        <v>7130</v>
      </c>
      <c r="D973" t="s">
        <v>6168</v>
      </c>
    </row>
    <row r="974" spans="1:4">
      <c r="A974" t="s">
        <v>7131</v>
      </c>
      <c r="B974">
        <v>27256</v>
      </c>
      <c r="C974" t="s">
        <v>7132</v>
      </c>
      <c r="D974" t="s">
        <v>6168</v>
      </c>
    </row>
    <row r="975" spans="1:4">
      <c r="A975" t="s">
        <v>7133</v>
      </c>
      <c r="B975">
        <v>21641</v>
      </c>
      <c r="C975" t="s">
        <v>7128</v>
      </c>
      <c r="D975" t="s">
        <v>6168</v>
      </c>
    </row>
    <row r="976" spans="1:4">
      <c r="A976" t="s">
        <v>7134</v>
      </c>
      <c r="B976">
        <v>21569</v>
      </c>
      <c r="C976" t="s">
        <v>7135</v>
      </c>
      <c r="D976" t="s">
        <v>6168</v>
      </c>
    </row>
    <row r="977" spans="1:4">
      <c r="A977" t="s">
        <v>7136</v>
      </c>
      <c r="B977">
        <v>21570</v>
      </c>
      <c r="C977" t="s">
        <v>7137</v>
      </c>
      <c r="D977" t="s">
        <v>6168</v>
      </c>
    </row>
    <row r="978" spans="1:4">
      <c r="A978" t="s">
        <v>7138</v>
      </c>
      <c r="B978">
        <v>21642</v>
      </c>
      <c r="D978" t="s">
        <v>6267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7139</v>
      </c>
      <c r="B980">
        <v>25299</v>
      </c>
      <c r="C980" t="s">
        <v>7140</v>
      </c>
      <c r="D980" t="s">
        <v>6168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7141</v>
      </c>
      <c r="B983">
        <v>21644</v>
      </c>
      <c r="C983" t="s">
        <v>4950</v>
      </c>
      <c r="D983" t="s">
        <v>6168</v>
      </c>
    </row>
    <row r="984" spans="1:4">
      <c r="A984" t="s">
        <v>7142</v>
      </c>
      <c r="B984">
        <v>21645</v>
      </c>
      <c r="C984" t="s">
        <v>7143</v>
      </c>
      <c r="D984" t="s">
        <v>6168</v>
      </c>
    </row>
    <row r="985" spans="1:4">
      <c r="A985" t="s">
        <v>7144</v>
      </c>
      <c r="B985">
        <v>21646</v>
      </c>
      <c r="C985" t="s">
        <v>7145</v>
      </c>
      <c r="D985" t="s">
        <v>6168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7146</v>
      </c>
      <c r="B987">
        <v>4743</v>
      </c>
      <c r="C987" t="s">
        <v>7147</v>
      </c>
      <c r="D987" t="s">
        <v>6314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7148</v>
      </c>
      <c r="B991">
        <v>21648</v>
      </c>
      <c r="C991" t="s">
        <v>825</v>
      </c>
      <c r="D991" t="s">
        <v>6168</v>
      </c>
    </row>
    <row r="992" spans="1:4">
      <c r="A992" t="s">
        <v>17234</v>
      </c>
      <c r="B992">
        <v>45325</v>
      </c>
      <c r="C992" t="s">
        <v>17235</v>
      </c>
      <c r="D992" t="s">
        <v>123</v>
      </c>
    </row>
    <row r="993" spans="1:4">
      <c r="A993" t="s">
        <v>17377</v>
      </c>
      <c r="B993">
        <v>45474</v>
      </c>
      <c r="C993" t="s">
        <v>17378</v>
      </c>
      <c r="D993" t="s">
        <v>6168</v>
      </c>
    </row>
    <row r="994" spans="1:4">
      <c r="A994" t="s">
        <v>17236</v>
      </c>
      <c r="B994">
        <v>45326</v>
      </c>
      <c r="C994" t="s">
        <v>17237</v>
      </c>
      <c r="D994" t="s">
        <v>123</v>
      </c>
    </row>
    <row r="995" spans="1:4">
      <c r="A995" t="s">
        <v>17379</v>
      </c>
      <c r="B995">
        <v>45475</v>
      </c>
      <c r="C995" t="s">
        <v>17380</v>
      </c>
      <c r="D995" t="s">
        <v>6168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7149</v>
      </c>
      <c r="B998">
        <v>24525</v>
      </c>
      <c r="C998" t="s">
        <v>7150</v>
      </c>
      <c r="D998" t="s">
        <v>6248</v>
      </c>
    </row>
    <row r="999" spans="1:4">
      <c r="A999" t="s">
        <v>7151</v>
      </c>
      <c r="B999">
        <v>35350</v>
      </c>
      <c r="C999" t="s">
        <v>7152</v>
      </c>
      <c r="D999" t="s">
        <v>6168</v>
      </c>
    </row>
    <row r="1000" spans="1:4">
      <c r="A1000" t="s">
        <v>7153</v>
      </c>
      <c r="B1000">
        <v>35487</v>
      </c>
      <c r="C1000" t="s">
        <v>7154</v>
      </c>
      <c r="D1000" t="s">
        <v>6168</v>
      </c>
    </row>
    <row r="1001" spans="1:4">
      <c r="A1001" t="s">
        <v>7155</v>
      </c>
      <c r="B1001">
        <v>25061</v>
      </c>
      <c r="C1001" t="s">
        <v>7156</v>
      </c>
      <c r="D1001" t="s">
        <v>6168</v>
      </c>
    </row>
    <row r="1002" spans="1:4">
      <c r="A1002" t="s">
        <v>7157</v>
      </c>
      <c r="B1002">
        <v>30186</v>
      </c>
      <c r="C1002" t="s">
        <v>7158</v>
      </c>
      <c r="D1002" t="s">
        <v>6168</v>
      </c>
    </row>
    <row r="1003" spans="1:4">
      <c r="A1003" t="s">
        <v>7159</v>
      </c>
      <c r="B1003">
        <v>35739</v>
      </c>
      <c r="C1003" t="s">
        <v>7160</v>
      </c>
      <c r="D1003" t="s">
        <v>6168</v>
      </c>
    </row>
    <row r="1004" spans="1:4">
      <c r="A1004" t="s">
        <v>7161</v>
      </c>
      <c r="B1004">
        <v>30728</v>
      </c>
      <c r="C1004" t="s">
        <v>3203</v>
      </c>
      <c r="D1004" t="s">
        <v>6168</v>
      </c>
    </row>
    <row r="1005" spans="1:4">
      <c r="A1005" t="s">
        <v>7162</v>
      </c>
      <c r="B1005">
        <v>31122</v>
      </c>
      <c r="C1005" t="s">
        <v>7163</v>
      </c>
      <c r="D1005" t="s">
        <v>6248</v>
      </c>
    </row>
    <row r="1006" spans="1:4">
      <c r="A1006" t="s">
        <v>7164</v>
      </c>
      <c r="B1006">
        <v>31196</v>
      </c>
      <c r="C1006" t="s">
        <v>7165</v>
      </c>
      <c r="D1006" t="s">
        <v>6168</v>
      </c>
    </row>
    <row r="1007" spans="1:4">
      <c r="A1007" t="s">
        <v>7166</v>
      </c>
      <c r="B1007">
        <v>30176</v>
      </c>
      <c r="C1007" t="s">
        <v>7167</v>
      </c>
      <c r="D1007" t="s">
        <v>6248</v>
      </c>
    </row>
    <row r="1008" spans="1:4">
      <c r="A1008" t="s">
        <v>7168</v>
      </c>
      <c r="B1008">
        <v>30180</v>
      </c>
      <c r="C1008" t="s">
        <v>7169</v>
      </c>
      <c r="D1008" t="s">
        <v>6168</v>
      </c>
    </row>
    <row r="1009" spans="1:4">
      <c r="A1009" t="s">
        <v>7170</v>
      </c>
      <c r="B1009">
        <v>30622</v>
      </c>
      <c r="D1009" t="s">
        <v>6168</v>
      </c>
    </row>
    <row r="1010" spans="1:4">
      <c r="A1010" t="s">
        <v>7171</v>
      </c>
      <c r="B1010">
        <v>34855</v>
      </c>
      <c r="C1010" t="s">
        <v>3137</v>
      </c>
      <c r="D1010" t="s">
        <v>6168</v>
      </c>
    </row>
    <row r="1011" spans="1:4">
      <c r="A1011" t="s">
        <v>7172</v>
      </c>
      <c r="B1011">
        <v>33880</v>
      </c>
      <c r="C1011" t="s">
        <v>7173</v>
      </c>
      <c r="D1011" t="s">
        <v>6168</v>
      </c>
    </row>
    <row r="1012" spans="1:4">
      <c r="A1012" t="s">
        <v>7174</v>
      </c>
      <c r="B1012">
        <v>31430</v>
      </c>
      <c r="C1012" t="s">
        <v>7175</v>
      </c>
      <c r="D1012" t="s">
        <v>6168</v>
      </c>
    </row>
    <row r="1013" spans="1:4">
      <c r="A1013" t="s">
        <v>7176</v>
      </c>
      <c r="B1013">
        <v>42009</v>
      </c>
      <c r="C1013" t="s">
        <v>7177</v>
      </c>
      <c r="D1013" t="s">
        <v>6168</v>
      </c>
    </row>
    <row r="1014" spans="1:4">
      <c r="A1014" t="s">
        <v>7178</v>
      </c>
      <c r="B1014">
        <v>39696</v>
      </c>
      <c r="C1014" t="s">
        <v>7179</v>
      </c>
      <c r="D1014" t="s">
        <v>6248</v>
      </c>
    </row>
    <row r="1015" spans="1:4">
      <c r="A1015" t="s">
        <v>7180</v>
      </c>
      <c r="B1015">
        <v>40592</v>
      </c>
      <c r="C1015" t="s">
        <v>7181</v>
      </c>
      <c r="D1015" t="s">
        <v>6168</v>
      </c>
    </row>
    <row r="1016" spans="1:4">
      <c r="A1016" t="s">
        <v>7182</v>
      </c>
      <c r="B1016">
        <v>40591</v>
      </c>
      <c r="C1016" t="s">
        <v>7183</v>
      </c>
      <c r="D1016" t="s">
        <v>6168</v>
      </c>
    </row>
    <row r="1017" spans="1:4">
      <c r="A1017" t="s">
        <v>7184</v>
      </c>
      <c r="B1017">
        <v>30172</v>
      </c>
      <c r="C1017" t="s">
        <v>7181</v>
      </c>
      <c r="D1017" t="s">
        <v>6168</v>
      </c>
    </row>
    <row r="1018" spans="1:4">
      <c r="A1018" t="s">
        <v>7185</v>
      </c>
      <c r="B1018">
        <v>30179</v>
      </c>
      <c r="C1018" t="s">
        <v>7169</v>
      </c>
      <c r="D1018" t="s">
        <v>6168</v>
      </c>
    </row>
    <row r="1019" spans="1:4">
      <c r="A1019" t="s">
        <v>7186</v>
      </c>
      <c r="B1019">
        <v>30178</v>
      </c>
      <c r="C1019" t="s">
        <v>7181</v>
      </c>
      <c r="D1019" t="s">
        <v>6168</v>
      </c>
    </row>
    <row r="1020" spans="1:4">
      <c r="A1020" t="s">
        <v>7187</v>
      </c>
      <c r="B1020">
        <v>30181</v>
      </c>
      <c r="C1020" t="s">
        <v>7181</v>
      </c>
      <c r="D1020" t="s">
        <v>6168</v>
      </c>
    </row>
    <row r="1021" spans="1:4">
      <c r="A1021" t="s">
        <v>7188</v>
      </c>
      <c r="B1021">
        <v>30185</v>
      </c>
      <c r="C1021" t="s">
        <v>7189</v>
      </c>
      <c r="D1021" t="s">
        <v>6168</v>
      </c>
    </row>
    <row r="1022" spans="1:4">
      <c r="A1022" t="s">
        <v>7190</v>
      </c>
      <c r="B1022">
        <v>25445</v>
      </c>
      <c r="C1022" t="s">
        <v>3137</v>
      </c>
      <c r="D1022" t="s">
        <v>6168</v>
      </c>
    </row>
    <row r="1023" spans="1:4">
      <c r="A1023" t="s">
        <v>7191</v>
      </c>
      <c r="B1023">
        <v>35654</v>
      </c>
      <c r="C1023" t="s">
        <v>7160</v>
      </c>
      <c r="D1023" t="s">
        <v>6449</v>
      </c>
    </row>
    <row r="1024" spans="1:4">
      <c r="A1024" t="s">
        <v>7192</v>
      </c>
      <c r="B1024">
        <v>30182</v>
      </c>
      <c r="D1024" t="s">
        <v>6168</v>
      </c>
    </row>
    <row r="1025" spans="1:4">
      <c r="A1025" t="s">
        <v>7193</v>
      </c>
      <c r="B1025">
        <v>24526</v>
      </c>
      <c r="C1025" t="s">
        <v>7173</v>
      </c>
      <c r="D1025" t="s">
        <v>6168</v>
      </c>
    </row>
    <row r="1026" spans="1:4">
      <c r="A1026" t="s">
        <v>7194</v>
      </c>
      <c r="B1026">
        <v>35740</v>
      </c>
      <c r="C1026" t="s">
        <v>7160</v>
      </c>
      <c r="D1026" t="s">
        <v>6168</v>
      </c>
    </row>
    <row r="1027" spans="1:4">
      <c r="A1027" t="s">
        <v>7195</v>
      </c>
      <c r="B1027">
        <v>30183</v>
      </c>
      <c r="C1027" t="s">
        <v>7183</v>
      </c>
      <c r="D1027" t="s">
        <v>6168</v>
      </c>
    </row>
    <row r="1028" spans="1:4">
      <c r="A1028" t="s">
        <v>7196</v>
      </c>
      <c r="B1028">
        <v>30729</v>
      </c>
      <c r="C1028" t="s">
        <v>3203</v>
      </c>
      <c r="D1028" t="s">
        <v>6449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7197</v>
      </c>
      <c r="B1032">
        <v>24527</v>
      </c>
      <c r="C1032" t="s">
        <v>2795</v>
      </c>
      <c r="D1032" t="s">
        <v>6168</v>
      </c>
    </row>
    <row r="1033" spans="1:4">
      <c r="A1033" t="s">
        <v>7198</v>
      </c>
      <c r="B1033">
        <v>40590</v>
      </c>
      <c r="C1033" t="s">
        <v>7199</v>
      </c>
      <c r="D1033" t="s">
        <v>6168</v>
      </c>
    </row>
    <row r="1034" spans="1:4">
      <c r="A1034" t="s">
        <v>17430</v>
      </c>
      <c r="B1034">
        <v>45719</v>
      </c>
      <c r="C1034" t="s">
        <v>17431</v>
      </c>
      <c r="D1034" t="s">
        <v>6168</v>
      </c>
    </row>
    <row r="1035" spans="1:4">
      <c r="A1035" t="s">
        <v>7200</v>
      </c>
      <c r="B1035">
        <v>24528</v>
      </c>
      <c r="C1035" t="s">
        <v>7201</v>
      </c>
      <c r="D1035" t="s">
        <v>6168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7202</v>
      </c>
      <c r="B1037">
        <v>41955</v>
      </c>
      <c r="C1037" t="s">
        <v>7203</v>
      </c>
      <c r="D1037" t="s">
        <v>6168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7204</v>
      </c>
      <c r="B1039">
        <v>1017</v>
      </c>
      <c r="C1039" t="s">
        <v>4950</v>
      </c>
      <c r="D1039" t="s">
        <v>6168</v>
      </c>
    </row>
    <row r="1040" spans="1:4">
      <c r="A1040" t="s">
        <v>7205</v>
      </c>
      <c r="B1040">
        <v>23261</v>
      </c>
      <c r="C1040" t="s">
        <v>7206</v>
      </c>
      <c r="D1040" t="s">
        <v>6314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7207</v>
      </c>
      <c r="B1042">
        <v>21650</v>
      </c>
      <c r="C1042" t="s">
        <v>7208</v>
      </c>
      <c r="D1042" t="s">
        <v>6168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7209</v>
      </c>
      <c r="B1044">
        <v>30547</v>
      </c>
      <c r="C1044" t="s">
        <v>2876</v>
      </c>
      <c r="D1044" t="s">
        <v>6168</v>
      </c>
    </row>
    <row r="1045" spans="1:4">
      <c r="A1045" t="s">
        <v>16738</v>
      </c>
      <c r="B1045">
        <v>43316</v>
      </c>
      <c r="C1045" t="s">
        <v>16730</v>
      </c>
      <c r="D1045" t="s">
        <v>134</v>
      </c>
    </row>
    <row r="1046" spans="1:4">
      <c r="A1046" t="s">
        <v>16737</v>
      </c>
      <c r="B1046">
        <v>43315</v>
      </c>
      <c r="C1046" t="s">
        <v>16730</v>
      </c>
      <c r="D1046" t="s">
        <v>6314</v>
      </c>
    </row>
    <row r="1047" spans="1:4">
      <c r="A1047" t="s">
        <v>16739</v>
      </c>
      <c r="B1047">
        <v>43317</v>
      </c>
      <c r="C1047" t="s">
        <v>16740</v>
      </c>
      <c r="D1047" t="s">
        <v>123</v>
      </c>
    </row>
    <row r="1048" spans="1:4">
      <c r="A1048" t="s">
        <v>16783</v>
      </c>
      <c r="B1048">
        <v>43345</v>
      </c>
      <c r="C1048" t="s">
        <v>16784</v>
      </c>
      <c r="D1048" t="s">
        <v>6168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7210</v>
      </c>
      <c r="B1051">
        <v>20679</v>
      </c>
      <c r="C1051" t="s">
        <v>453</v>
      </c>
      <c r="D1051" t="s">
        <v>6168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7211</v>
      </c>
      <c r="B1053">
        <v>3135</v>
      </c>
      <c r="D1053" t="s">
        <v>6872</v>
      </c>
    </row>
    <row r="1054" spans="1:4">
      <c r="A1054" t="s">
        <v>7212</v>
      </c>
      <c r="B1054">
        <v>29545</v>
      </c>
      <c r="C1054" t="s">
        <v>7213</v>
      </c>
      <c r="D1054" t="s">
        <v>6241</v>
      </c>
    </row>
    <row r="1055" spans="1:4">
      <c r="A1055" t="s">
        <v>7214</v>
      </c>
      <c r="B1055">
        <v>39619</v>
      </c>
      <c r="D1055" t="s">
        <v>6230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7215</v>
      </c>
      <c r="B1058">
        <v>42385</v>
      </c>
      <c r="C1058" t="s">
        <v>6849</v>
      </c>
      <c r="D1058" t="s">
        <v>6168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7216</v>
      </c>
      <c r="B1060">
        <v>42737</v>
      </c>
      <c r="C1060" t="s">
        <v>4637</v>
      </c>
      <c r="D1060" t="s">
        <v>6168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7217</v>
      </c>
      <c r="B1062">
        <v>29444</v>
      </c>
      <c r="C1062" t="s">
        <v>7218</v>
      </c>
      <c r="D1062" t="s">
        <v>6168</v>
      </c>
    </row>
    <row r="1063" spans="1:4">
      <c r="A1063" t="s">
        <v>7219</v>
      </c>
      <c r="B1063">
        <v>29370</v>
      </c>
      <c r="C1063" t="s">
        <v>3569</v>
      </c>
      <c r="D1063" t="s">
        <v>6292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7220</v>
      </c>
      <c r="B1065">
        <v>40588</v>
      </c>
      <c r="C1065" t="s">
        <v>7221</v>
      </c>
      <c r="D1065" t="s">
        <v>6314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7222</v>
      </c>
      <c r="B1067">
        <v>41725</v>
      </c>
      <c r="C1067" t="s">
        <v>7223</v>
      </c>
      <c r="D1067" t="s">
        <v>6168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7224</v>
      </c>
      <c r="B1069">
        <v>23269</v>
      </c>
      <c r="C1069" t="s">
        <v>444</v>
      </c>
      <c r="D1069" t="s">
        <v>6230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7225</v>
      </c>
      <c r="B1071">
        <v>31735</v>
      </c>
      <c r="C1071" t="s">
        <v>4950</v>
      </c>
      <c r="D1071" t="s">
        <v>6168</v>
      </c>
    </row>
    <row r="1072" spans="1:4">
      <c r="A1072" t="s">
        <v>7226</v>
      </c>
      <c r="B1072">
        <v>882</v>
      </c>
      <c r="C1072" t="s">
        <v>4950</v>
      </c>
      <c r="D1072" t="s">
        <v>6168</v>
      </c>
    </row>
    <row r="1073" spans="1:4">
      <c r="A1073" t="s">
        <v>7227</v>
      </c>
      <c r="B1073">
        <v>5098</v>
      </c>
      <c r="D1073" t="s">
        <v>6230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7228</v>
      </c>
      <c r="B1075">
        <v>23589</v>
      </c>
      <c r="D1075" t="s">
        <v>6292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7229</v>
      </c>
      <c r="B1077">
        <v>29620</v>
      </c>
      <c r="C1077" t="s">
        <v>7230</v>
      </c>
      <c r="D1077" t="s">
        <v>6168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7231</v>
      </c>
      <c r="B1079">
        <v>21652</v>
      </c>
      <c r="C1079" t="s">
        <v>7232</v>
      </c>
      <c r="D1079" t="s">
        <v>6168</v>
      </c>
    </row>
    <row r="1080" spans="1:4">
      <c r="A1080" t="s">
        <v>7233</v>
      </c>
      <c r="B1080">
        <v>21653</v>
      </c>
      <c r="C1080" t="s">
        <v>7234</v>
      </c>
      <c r="D1080" t="s">
        <v>6168</v>
      </c>
    </row>
    <row r="1081" spans="1:4">
      <c r="A1081" t="s">
        <v>7235</v>
      </c>
      <c r="B1081">
        <v>21654</v>
      </c>
      <c r="C1081" t="s">
        <v>7236</v>
      </c>
      <c r="D1081" t="s">
        <v>6168</v>
      </c>
    </row>
    <row r="1082" spans="1:4">
      <c r="A1082" t="s">
        <v>7237</v>
      </c>
      <c r="B1082">
        <v>21655</v>
      </c>
      <c r="C1082" t="s">
        <v>7238</v>
      </c>
      <c r="D1082" t="s">
        <v>6267</v>
      </c>
    </row>
    <row r="1083" spans="1:4">
      <c r="A1083" t="s">
        <v>7239</v>
      </c>
      <c r="B1083">
        <v>23366</v>
      </c>
      <c r="C1083" t="s">
        <v>5279</v>
      </c>
      <c r="D1083" t="s">
        <v>6245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7240</v>
      </c>
      <c r="B1085">
        <v>25395</v>
      </c>
      <c r="C1085" t="s">
        <v>7241</v>
      </c>
      <c r="D1085" t="s">
        <v>6248</v>
      </c>
    </row>
    <row r="1086" spans="1:4">
      <c r="A1086" t="s">
        <v>7242</v>
      </c>
      <c r="B1086">
        <v>42011</v>
      </c>
      <c r="C1086" t="s">
        <v>7243</v>
      </c>
      <c r="D1086" t="s">
        <v>6168</v>
      </c>
    </row>
    <row r="1087" spans="1:4">
      <c r="A1087" t="s">
        <v>7244</v>
      </c>
      <c r="B1087">
        <v>25446</v>
      </c>
      <c r="C1087" t="s">
        <v>7245</v>
      </c>
      <c r="D1087" t="s">
        <v>6168</v>
      </c>
    </row>
    <row r="1088" spans="1:4">
      <c r="A1088" t="s">
        <v>7246</v>
      </c>
      <c r="B1088">
        <v>31431</v>
      </c>
      <c r="C1088" t="s">
        <v>2532</v>
      </c>
      <c r="D1088" t="s">
        <v>6248</v>
      </c>
    </row>
    <row r="1089" spans="1:4">
      <c r="A1089" t="s">
        <v>7247</v>
      </c>
      <c r="B1089">
        <v>31490</v>
      </c>
      <c r="C1089" t="s">
        <v>2532</v>
      </c>
      <c r="D1089" t="s">
        <v>6449</v>
      </c>
    </row>
    <row r="1090" spans="1:4">
      <c r="A1090" t="s">
        <v>7248</v>
      </c>
      <c r="B1090">
        <v>25396</v>
      </c>
      <c r="C1090" t="s">
        <v>2532</v>
      </c>
      <c r="D1090" t="s">
        <v>6168</v>
      </c>
    </row>
    <row r="1091" spans="1:4">
      <c r="A1091" t="s">
        <v>7249</v>
      </c>
      <c r="B1091">
        <v>24530</v>
      </c>
      <c r="D1091" t="s">
        <v>6245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17095</v>
      </c>
      <c r="B1093">
        <v>44349</v>
      </c>
      <c r="C1093" t="s">
        <v>8066</v>
      </c>
      <c r="D1093" t="s">
        <v>123</v>
      </c>
    </row>
    <row r="1094" spans="1:4">
      <c r="A1094" t="s">
        <v>17096</v>
      </c>
      <c r="B1094">
        <v>44350</v>
      </c>
      <c r="C1094" t="s">
        <v>17097</v>
      </c>
      <c r="D1094" t="s">
        <v>6168</v>
      </c>
    </row>
    <row r="1095" spans="1:4">
      <c r="A1095" t="s">
        <v>17093</v>
      </c>
      <c r="B1095">
        <v>44347</v>
      </c>
      <c r="C1095" t="s">
        <v>1147</v>
      </c>
      <c r="D1095" t="s">
        <v>134</v>
      </c>
    </row>
    <row r="1096" spans="1:4">
      <c r="A1096" t="s">
        <v>17094</v>
      </c>
      <c r="B1096">
        <v>44348</v>
      </c>
      <c r="C1096" t="s">
        <v>1147</v>
      </c>
      <c r="D1096" t="s">
        <v>6267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7250</v>
      </c>
      <c r="B1098">
        <v>3277</v>
      </c>
      <c r="D1098" t="s">
        <v>6292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7251</v>
      </c>
      <c r="B1100">
        <v>32558</v>
      </c>
      <c r="C1100" t="s">
        <v>7252</v>
      </c>
      <c r="D1100" t="s">
        <v>6168</v>
      </c>
    </row>
    <row r="1101" spans="1:4">
      <c r="A1101" t="s">
        <v>7253</v>
      </c>
      <c r="B1101">
        <v>31827</v>
      </c>
      <c r="C1101" t="s">
        <v>5440</v>
      </c>
      <c r="D1101" t="s">
        <v>6168</v>
      </c>
    </row>
    <row r="1102" spans="1:4">
      <c r="A1102" t="s">
        <v>7254</v>
      </c>
      <c r="B1102">
        <v>26414</v>
      </c>
      <c r="C1102" t="s">
        <v>7255</v>
      </c>
      <c r="D1102" t="s">
        <v>6168</v>
      </c>
    </row>
    <row r="1103" spans="1:4">
      <c r="A1103" t="s">
        <v>7256</v>
      </c>
      <c r="B1103">
        <v>35120</v>
      </c>
      <c r="C1103" t="s">
        <v>7257</v>
      </c>
      <c r="D1103" t="s">
        <v>6168</v>
      </c>
    </row>
    <row r="1104" spans="1:4">
      <c r="A1104" t="s">
        <v>7258</v>
      </c>
      <c r="B1104">
        <v>42940</v>
      </c>
      <c r="C1104" t="s">
        <v>444</v>
      </c>
      <c r="D1104" t="s">
        <v>6314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7259</v>
      </c>
      <c r="B1106">
        <v>866</v>
      </c>
      <c r="C1106" t="s">
        <v>4950</v>
      </c>
      <c r="D1106" t="s">
        <v>6168</v>
      </c>
    </row>
    <row r="1107" spans="1:4">
      <c r="A1107" t="s">
        <v>7260</v>
      </c>
      <c r="B1107">
        <v>2965</v>
      </c>
      <c r="C1107" t="s">
        <v>7261</v>
      </c>
      <c r="D1107" t="s">
        <v>6168</v>
      </c>
    </row>
    <row r="1108" spans="1:4">
      <c r="A1108" t="s">
        <v>7262</v>
      </c>
      <c r="B1108">
        <v>2967</v>
      </c>
      <c r="C1108" t="s">
        <v>7263</v>
      </c>
      <c r="D1108" t="s">
        <v>6168</v>
      </c>
    </row>
    <row r="1109" spans="1:4">
      <c r="A1109" t="s">
        <v>7264</v>
      </c>
      <c r="B1109">
        <v>2966</v>
      </c>
      <c r="C1109" t="s">
        <v>7265</v>
      </c>
      <c r="D1109" t="s">
        <v>6168</v>
      </c>
    </row>
    <row r="1110" spans="1:4">
      <c r="A1110" t="s">
        <v>7266</v>
      </c>
      <c r="B1110">
        <v>2964</v>
      </c>
      <c r="C1110" t="s">
        <v>7267</v>
      </c>
      <c r="D1110" t="s">
        <v>6449</v>
      </c>
    </row>
    <row r="1111" spans="1:4">
      <c r="A1111" t="s">
        <v>7268</v>
      </c>
      <c r="B1111">
        <v>2963</v>
      </c>
      <c r="C1111" t="s">
        <v>7269</v>
      </c>
      <c r="D1111" t="s">
        <v>6168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7270</v>
      </c>
      <c r="B1113">
        <v>30540</v>
      </c>
      <c r="C1113" t="s">
        <v>7271</v>
      </c>
      <c r="D1113" t="s">
        <v>6168</v>
      </c>
    </row>
    <row r="1114" spans="1:4">
      <c r="A1114" t="s">
        <v>7272</v>
      </c>
      <c r="B1114">
        <v>30541</v>
      </c>
      <c r="C1114" t="s">
        <v>7273</v>
      </c>
      <c r="D1114" t="s">
        <v>6168</v>
      </c>
    </row>
    <row r="1115" spans="1:4">
      <c r="A1115" t="s">
        <v>7274</v>
      </c>
      <c r="B1115">
        <v>30539</v>
      </c>
      <c r="C1115" t="s">
        <v>6851</v>
      </c>
      <c r="D1115" t="s">
        <v>6168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7275</v>
      </c>
      <c r="B1117">
        <v>23274</v>
      </c>
      <c r="C1117" t="s">
        <v>7276</v>
      </c>
      <c r="D1117" t="s">
        <v>6314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7277</v>
      </c>
      <c r="B1119">
        <v>33882</v>
      </c>
      <c r="C1119" t="s">
        <v>7278</v>
      </c>
      <c r="D1119" t="s">
        <v>6168</v>
      </c>
    </row>
    <row r="1120" spans="1:4">
      <c r="A1120" t="s">
        <v>7279</v>
      </c>
      <c r="B1120">
        <v>24531</v>
      </c>
      <c r="C1120" t="s">
        <v>1273</v>
      </c>
      <c r="D1120" t="s">
        <v>6168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7280</v>
      </c>
      <c r="B1123">
        <v>24532</v>
      </c>
      <c r="C1123" t="s">
        <v>6914</v>
      </c>
      <c r="D1123" t="s">
        <v>6168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7281</v>
      </c>
      <c r="B1125">
        <v>4541</v>
      </c>
      <c r="C1125" t="s">
        <v>2544</v>
      </c>
      <c r="D1125" t="s">
        <v>6605</v>
      </c>
    </row>
    <row r="1126" spans="1:4">
      <c r="A1126" t="s">
        <v>7282</v>
      </c>
      <c r="B1126">
        <v>23518</v>
      </c>
      <c r="D1126" t="s">
        <v>7283</v>
      </c>
    </row>
    <row r="1127" spans="1:4">
      <c r="A1127" t="s">
        <v>7284</v>
      </c>
      <c r="B1127">
        <v>34112</v>
      </c>
      <c r="C1127" t="s">
        <v>7285</v>
      </c>
      <c r="D1127" t="s">
        <v>6267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7286</v>
      </c>
      <c r="B1129">
        <v>23616</v>
      </c>
      <c r="C1129" t="s">
        <v>7287</v>
      </c>
      <c r="D1129" t="s">
        <v>6168</v>
      </c>
    </row>
    <row r="1130" spans="1:4">
      <c r="A1130" t="s">
        <v>7288</v>
      </c>
      <c r="B1130">
        <v>23185</v>
      </c>
      <c r="D1130" t="s">
        <v>6267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7289</v>
      </c>
      <c r="B1133">
        <v>40585</v>
      </c>
      <c r="C1133" t="s">
        <v>5837</v>
      </c>
      <c r="D1133" t="s">
        <v>6168</v>
      </c>
    </row>
    <row r="1134" spans="1:4">
      <c r="A1134" t="s">
        <v>7290</v>
      </c>
      <c r="B1134">
        <v>41109</v>
      </c>
      <c r="C1134" t="s">
        <v>461</v>
      </c>
      <c r="D1134" t="s">
        <v>6168</v>
      </c>
    </row>
    <row r="1135" spans="1:4">
      <c r="A1135" t="s">
        <v>7291</v>
      </c>
      <c r="B1135">
        <v>43409</v>
      </c>
      <c r="C1135" t="s">
        <v>7292</v>
      </c>
      <c r="D1135" t="s">
        <v>6168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7293</v>
      </c>
      <c r="B1137">
        <v>41110</v>
      </c>
      <c r="C1137" t="s">
        <v>7294</v>
      </c>
      <c r="D1137" t="s">
        <v>6168</v>
      </c>
    </row>
    <row r="1138" spans="1:4">
      <c r="A1138" t="s">
        <v>7295</v>
      </c>
      <c r="B1138">
        <v>35947</v>
      </c>
      <c r="C1138" t="s">
        <v>6330</v>
      </c>
      <c r="D1138" t="s">
        <v>6168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7296</v>
      </c>
      <c r="B1142">
        <v>30774</v>
      </c>
      <c r="C1142" t="s">
        <v>6914</v>
      </c>
      <c r="D1142" t="s">
        <v>6168</v>
      </c>
    </row>
    <row r="1143" spans="1:4">
      <c r="A1143" t="s">
        <v>7297</v>
      </c>
      <c r="B1143">
        <v>35131</v>
      </c>
      <c r="C1143" t="s">
        <v>6297</v>
      </c>
      <c r="D1143" t="s">
        <v>6168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7298</v>
      </c>
      <c r="B1145">
        <v>43657</v>
      </c>
      <c r="C1145" t="s">
        <v>7299</v>
      </c>
      <c r="D1145" t="s">
        <v>6245</v>
      </c>
    </row>
    <row r="1146" spans="1:4">
      <c r="A1146" t="s">
        <v>7300</v>
      </c>
      <c r="B1146">
        <v>43656</v>
      </c>
      <c r="C1146" t="s">
        <v>7301</v>
      </c>
      <c r="D1146" t="s">
        <v>6230</v>
      </c>
    </row>
    <row r="1147" spans="1:4">
      <c r="A1147" t="s">
        <v>17056</v>
      </c>
      <c r="B1147">
        <v>44308</v>
      </c>
      <c r="C1147" t="s">
        <v>1169</v>
      </c>
      <c r="D1147" t="s">
        <v>123</v>
      </c>
    </row>
    <row r="1148" spans="1:4">
      <c r="A1148" t="s">
        <v>17118</v>
      </c>
      <c r="B1148">
        <v>44377</v>
      </c>
      <c r="C1148" t="s">
        <v>7772</v>
      </c>
      <c r="D1148" t="s">
        <v>6168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7302</v>
      </c>
      <c r="B1150">
        <v>21657</v>
      </c>
      <c r="C1150" t="s">
        <v>7303</v>
      </c>
      <c r="D1150" t="s">
        <v>6168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7304</v>
      </c>
      <c r="B1153">
        <v>3134</v>
      </c>
      <c r="C1153" t="s">
        <v>7305</v>
      </c>
      <c r="D1153" t="s">
        <v>6267</v>
      </c>
    </row>
    <row r="1154" spans="1:4">
      <c r="A1154" t="s">
        <v>7306</v>
      </c>
      <c r="B1154">
        <v>21658</v>
      </c>
      <c r="D1154" t="s">
        <v>6267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7307</v>
      </c>
      <c r="B1158">
        <v>3956</v>
      </c>
      <c r="C1158" t="s">
        <v>6583</v>
      </c>
      <c r="D1158" t="s">
        <v>6168</v>
      </c>
    </row>
    <row r="1159" spans="1:4">
      <c r="A1159" t="s">
        <v>7308</v>
      </c>
      <c r="B1159">
        <v>3957</v>
      </c>
      <c r="C1159" t="s">
        <v>7309</v>
      </c>
      <c r="D1159" t="s">
        <v>6168</v>
      </c>
    </row>
    <row r="1160" spans="1:4">
      <c r="A1160" t="s">
        <v>7310</v>
      </c>
      <c r="B1160">
        <v>24054</v>
      </c>
      <c r="C1160" t="s">
        <v>7311</v>
      </c>
      <c r="D1160" t="s">
        <v>6243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7312</v>
      </c>
      <c r="B1162">
        <v>3833</v>
      </c>
      <c r="C1162" t="s">
        <v>7313</v>
      </c>
      <c r="D1162" t="s">
        <v>6168</v>
      </c>
    </row>
    <row r="1163" spans="1:4">
      <c r="A1163" t="s">
        <v>7314</v>
      </c>
      <c r="B1163">
        <v>27354</v>
      </c>
      <c r="D1163" t="s">
        <v>6245</v>
      </c>
    </row>
    <row r="1164" spans="1:4">
      <c r="A1164" t="s">
        <v>7315</v>
      </c>
      <c r="B1164">
        <v>35403</v>
      </c>
      <c r="C1164" t="s">
        <v>7316</v>
      </c>
      <c r="D1164" t="s">
        <v>6292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7317</v>
      </c>
      <c r="B1167">
        <v>3133</v>
      </c>
      <c r="C1167" t="s">
        <v>7318</v>
      </c>
      <c r="D1167" t="s">
        <v>6168</v>
      </c>
    </row>
    <row r="1168" spans="1:4">
      <c r="A1168" t="s">
        <v>7319</v>
      </c>
      <c r="B1168">
        <v>2909</v>
      </c>
      <c r="C1168" t="s">
        <v>7320</v>
      </c>
      <c r="D1168" t="s">
        <v>6168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7321</v>
      </c>
      <c r="B1170">
        <v>42012</v>
      </c>
      <c r="C1170" t="s">
        <v>7322</v>
      </c>
      <c r="D1170" t="s">
        <v>6168</v>
      </c>
    </row>
    <row r="1171" spans="1:4">
      <c r="A1171" t="s">
        <v>7323</v>
      </c>
      <c r="B1171">
        <v>31460</v>
      </c>
      <c r="C1171" t="s">
        <v>7324</v>
      </c>
      <c r="D1171" t="s">
        <v>6168</v>
      </c>
    </row>
    <row r="1172" spans="1:4">
      <c r="A1172" t="s">
        <v>16741</v>
      </c>
      <c r="B1172">
        <v>43318</v>
      </c>
      <c r="C1172" t="s">
        <v>16742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7325</v>
      </c>
      <c r="B1174">
        <v>2344</v>
      </c>
      <c r="C1174" t="s">
        <v>6417</v>
      </c>
      <c r="D1174" t="s">
        <v>6168</v>
      </c>
    </row>
    <row r="1175" spans="1:4">
      <c r="A1175" t="s">
        <v>7326</v>
      </c>
      <c r="B1175">
        <v>2345</v>
      </c>
      <c r="C1175" t="s">
        <v>6707</v>
      </c>
      <c r="D1175" t="s">
        <v>6168</v>
      </c>
    </row>
    <row r="1176" spans="1:4">
      <c r="A1176" t="s">
        <v>7327</v>
      </c>
      <c r="B1176">
        <v>2346</v>
      </c>
      <c r="C1176" t="s">
        <v>6417</v>
      </c>
      <c r="D1176" t="s">
        <v>6168</v>
      </c>
    </row>
    <row r="1177" spans="1:4">
      <c r="A1177" t="s">
        <v>7328</v>
      </c>
      <c r="B1177">
        <v>2347</v>
      </c>
      <c r="C1177" t="s">
        <v>7329</v>
      </c>
      <c r="D1177" t="s">
        <v>6168</v>
      </c>
    </row>
    <row r="1178" spans="1:4">
      <c r="A1178" t="s">
        <v>7330</v>
      </c>
      <c r="B1178">
        <v>2348</v>
      </c>
      <c r="C1178" t="s">
        <v>7331</v>
      </c>
      <c r="D1178" t="s">
        <v>6168</v>
      </c>
    </row>
    <row r="1179" spans="1:4">
      <c r="A1179" t="s">
        <v>7332</v>
      </c>
      <c r="B1179">
        <v>2350</v>
      </c>
      <c r="C1179" t="s">
        <v>7124</v>
      </c>
      <c r="D1179" t="s">
        <v>6168</v>
      </c>
    </row>
    <row r="1180" spans="1:4">
      <c r="A1180" t="s">
        <v>7333</v>
      </c>
      <c r="B1180">
        <v>2349</v>
      </c>
      <c r="C1180" t="s">
        <v>7124</v>
      </c>
      <c r="D1180" t="s">
        <v>6168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7334</v>
      </c>
      <c r="B1182">
        <v>36465</v>
      </c>
      <c r="C1182" t="s">
        <v>5680</v>
      </c>
      <c r="D1182" t="s">
        <v>6168</v>
      </c>
    </row>
    <row r="1183" spans="1:4">
      <c r="A1183" t="s">
        <v>6030</v>
      </c>
      <c r="B1183">
        <v>42738</v>
      </c>
      <c r="C1183" t="s">
        <v>16703</v>
      </c>
      <c r="D1183" t="s">
        <v>123</v>
      </c>
    </row>
    <row r="1184" spans="1:4">
      <c r="A1184" t="s">
        <v>7335</v>
      </c>
      <c r="B1184">
        <v>43096</v>
      </c>
      <c r="C1184" t="s">
        <v>7336</v>
      </c>
      <c r="D1184" t="s">
        <v>6168</v>
      </c>
    </row>
    <row r="1185" spans="1:4">
      <c r="A1185" t="s">
        <v>17238</v>
      </c>
      <c r="B1185">
        <v>45327</v>
      </c>
      <c r="C1185" t="s">
        <v>6924</v>
      </c>
      <c r="D1185" t="s">
        <v>6168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7337</v>
      </c>
      <c r="B1187">
        <v>30721</v>
      </c>
      <c r="C1187" t="s">
        <v>7338</v>
      </c>
      <c r="D1187" t="s">
        <v>6168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16722</v>
      </c>
      <c r="B1189">
        <v>43307</v>
      </c>
      <c r="C1189" t="s">
        <v>16721</v>
      </c>
      <c r="D1189" t="s">
        <v>123</v>
      </c>
    </row>
    <row r="1190" spans="1:4">
      <c r="A1190" t="s">
        <v>16776</v>
      </c>
      <c r="B1190">
        <v>43340</v>
      </c>
      <c r="C1190" t="s">
        <v>16777</v>
      </c>
      <c r="D1190" t="s">
        <v>6168</v>
      </c>
    </row>
    <row r="1191" spans="1:4">
      <c r="A1191" t="s">
        <v>16778</v>
      </c>
      <c r="B1191">
        <v>43341</v>
      </c>
      <c r="C1191" t="s">
        <v>16779</v>
      </c>
      <c r="D1191" t="s">
        <v>6168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7339</v>
      </c>
      <c r="B1194">
        <v>2910</v>
      </c>
      <c r="C1194" t="s">
        <v>7340</v>
      </c>
      <c r="D1194" t="s">
        <v>6168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7341</v>
      </c>
      <c r="B1197">
        <v>21660</v>
      </c>
      <c r="C1197" t="s">
        <v>6239</v>
      </c>
      <c r="D1197" t="s">
        <v>6168</v>
      </c>
    </row>
    <row r="1198" spans="1:4">
      <c r="A1198" t="s">
        <v>7342</v>
      </c>
      <c r="B1198">
        <v>21661</v>
      </c>
      <c r="C1198" t="s">
        <v>7343</v>
      </c>
      <c r="D1198" t="s">
        <v>6168</v>
      </c>
    </row>
    <row r="1199" spans="1:4">
      <c r="A1199" t="s">
        <v>16840</v>
      </c>
      <c r="B1199">
        <v>43883</v>
      </c>
      <c r="C1199" t="s">
        <v>7145</v>
      </c>
      <c r="D1199" t="s">
        <v>6168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7344</v>
      </c>
      <c r="B1201">
        <v>21663</v>
      </c>
      <c r="C1201" t="s">
        <v>876</v>
      </c>
      <c r="D1201" t="s">
        <v>6168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7345</v>
      </c>
      <c r="B1203">
        <v>20305</v>
      </c>
      <c r="C1203" t="s">
        <v>7346</v>
      </c>
      <c r="D1203" t="s">
        <v>6168</v>
      </c>
    </row>
    <row r="1204" spans="1:4">
      <c r="A1204" t="s">
        <v>7347</v>
      </c>
      <c r="B1204">
        <v>20308</v>
      </c>
      <c r="C1204" t="s">
        <v>7348</v>
      </c>
      <c r="D1204" t="s">
        <v>6168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7349</v>
      </c>
      <c r="B1206">
        <v>862</v>
      </c>
      <c r="C1206" t="s">
        <v>7350</v>
      </c>
      <c r="D1206" t="s">
        <v>6168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7351</v>
      </c>
      <c r="B1209">
        <v>40583</v>
      </c>
      <c r="C1209" t="s">
        <v>2405</v>
      </c>
      <c r="D1209" t="s">
        <v>6267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7352</v>
      </c>
      <c r="B1211">
        <v>23617</v>
      </c>
      <c r="C1211" t="s">
        <v>7353</v>
      </c>
      <c r="D1211" t="s">
        <v>6168</v>
      </c>
    </row>
    <row r="1212" spans="1:4">
      <c r="A1212" t="s">
        <v>7354</v>
      </c>
      <c r="B1212">
        <v>23618</v>
      </c>
      <c r="C1212" t="s">
        <v>7355</v>
      </c>
      <c r="D1212" t="s">
        <v>6168</v>
      </c>
    </row>
    <row r="1213" spans="1:4">
      <c r="A1213" t="s">
        <v>7356</v>
      </c>
      <c r="B1213">
        <v>35073</v>
      </c>
      <c r="C1213" t="s">
        <v>7357</v>
      </c>
      <c r="D1213" t="s">
        <v>6168</v>
      </c>
    </row>
    <row r="1214" spans="1:4">
      <c r="A1214" t="s">
        <v>7358</v>
      </c>
      <c r="B1214">
        <v>23619</v>
      </c>
      <c r="C1214" t="s">
        <v>7039</v>
      </c>
      <c r="D1214" t="s">
        <v>6168</v>
      </c>
    </row>
    <row r="1215" spans="1:4">
      <c r="A1215" t="s">
        <v>7359</v>
      </c>
      <c r="B1215">
        <v>23620</v>
      </c>
      <c r="C1215" t="s">
        <v>7360</v>
      </c>
      <c r="D1215" t="s">
        <v>6168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7361</v>
      </c>
      <c r="B1217">
        <v>25546</v>
      </c>
      <c r="C1217" t="s">
        <v>7362</v>
      </c>
      <c r="D1217" t="s">
        <v>6168</v>
      </c>
    </row>
    <row r="1218" spans="1:4">
      <c r="A1218" t="s">
        <v>7363</v>
      </c>
      <c r="B1218">
        <v>3284</v>
      </c>
      <c r="C1218" t="s">
        <v>7364</v>
      </c>
      <c r="D1218" t="s">
        <v>6168</v>
      </c>
    </row>
    <row r="1219" spans="1:4">
      <c r="A1219" t="s">
        <v>7365</v>
      </c>
      <c r="B1219">
        <v>41536</v>
      </c>
      <c r="C1219" t="s">
        <v>7366</v>
      </c>
      <c r="D1219" t="s">
        <v>6314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7367</v>
      </c>
      <c r="B1221">
        <v>29437</v>
      </c>
      <c r="C1221" t="s">
        <v>1257</v>
      </c>
      <c r="D1221" t="s">
        <v>6168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7368</v>
      </c>
      <c r="B1224">
        <v>35663</v>
      </c>
      <c r="C1224" t="s">
        <v>7369</v>
      </c>
      <c r="D1224" t="s">
        <v>6168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7370</v>
      </c>
      <c r="B1226">
        <v>24533</v>
      </c>
      <c r="C1226" t="s">
        <v>6914</v>
      </c>
      <c r="D1226" t="s">
        <v>6168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7371</v>
      </c>
      <c r="B1228">
        <v>20747</v>
      </c>
      <c r="C1228" t="s">
        <v>7372</v>
      </c>
      <c r="D1228" t="s">
        <v>6168</v>
      </c>
    </row>
    <row r="1229" spans="1:4">
      <c r="A1229" t="s">
        <v>7373</v>
      </c>
      <c r="B1229">
        <v>9836</v>
      </c>
      <c r="C1229" t="s">
        <v>4487</v>
      </c>
      <c r="D1229" t="s">
        <v>6168</v>
      </c>
    </row>
    <row r="1230" spans="1:4">
      <c r="A1230" t="s">
        <v>7374</v>
      </c>
      <c r="B1230">
        <v>19317</v>
      </c>
      <c r="C1230" t="s">
        <v>7375</v>
      </c>
      <c r="D1230" t="s">
        <v>6168</v>
      </c>
    </row>
    <row r="1231" spans="1:4">
      <c r="A1231" t="s">
        <v>7376</v>
      </c>
      <c r="B1231">
        <v>19316</v>
      </c>
      <c r="C1231" t="s">
        <v>7377</v>
      </c>
      <c r="D1231" t="s">
        <v>6168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7378</v>
      </c>
      <c r="B1234">
        <v>26118</v>
      </c>
      <c r="C1234" t="s">
        <v>7379</v>
      </c>
      <c r="D1234" t="s">
        <v>6168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7380</v>
      </c>
      <c r="B1236">
        <v>4161</v>
      </c>
      <c r="C1236" t="s">
        <v>4950</v>
      </c>
      <c r="D1236" t="s">
        <v>6168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7381</v>
      </c>
      <c r="B1238">
        <v>24534</v>
      </c>
      <c r="C1238" t="s">
        <v>3315</v>
      </c>
      <c r="D1238" t="s">
        <v>6168</v>
      </c>
    </row>
    <row r="1239" spans="1:4">
      <c r="A1239" t="s">
        <v>7382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7383</v>
      </c>
      <c r="B1242">
        <v>35651</v>
      </c>
      <c r="C1242" t="s">
        <v>7384</v>
      </c>
      <c r="D1242" t="s">
        <v>6168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7385</v>
      </c>
      <c r="B1246">
        <v>35635</v>
      </c>
      <c r="C1246" t="s">
        <v>6677</v>
      </c>
      <c r="D1246" t="s">
        <v>6168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7386</v>
      </c>
      <c r="B1248">
        <v>868</v>
      </c>
      <c r="C1248" t="s">
        <v>7387</v>
      </c>
      <c r="D1248" t="s">
        <v>6168</v>
      </c>
    </row>
    <row r="1249" spans="1:4">
      <c r="A1249" t="s">
        <v>7388</v>
      </c>
      <c r="B1249">
        <v>869</v>
      </c>
      <c r="C1249" t="s">
        <v>7389</v>
      </c>
      <c r="D1249" t="s">
        <v>6168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7390</v>
      </c>
      <c r="B1251">
        <v>33885</v>
      </c>
      <c r="C1251" t="s">
        <v>1307</v>
      </c>
      <c r="D1251" t="s">
        <v>6267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7391</v>
      </c>
      <c r="B1253">
        <v>4276</v>
      </c>
      <c r="C1253" t="s">
        <v>7392</v>
      </c>
      <c r="D1253" t="s">
        <v>6168</v>
      </c>
    </row>
    <row r="1254" spans="1:4">
      <c r="A1254" t="s">
        <v>7393</v>
      </c>
      <c r="B1254">
        <v>29439</v>
      </c>
      <c r="C1254" t="s">
        <v>7394</v>
      </c>
      <c r="D1254" t="s">
        <v>6168</v>
      </c>
    </row>
    <row r="1255" spans="1:4">
      <c r="A1255" t="s">
        <v>7395</v>
      </c>
      <c r="B1255">
        <v>27314</v>
      </c>
      <c r="C1255" t="s">
        <v>7396</v>
      </c>
      <c r="D1255" t="s">
        <v>6168</v>
      </c>
    </row>
    <row r="1256" spans="1:4">
      <c r="A1256" t="s">
        <v>7397</v>
      </c>
      <c r="B1256">
        <v>4277</v>
      </c>
      <c r="C1256" t="s">
        <v>7398</v>
      </c>
      <c r="D1256" t="s">
        <v>6168</v>
      </c>
    </row>
    <row r="1257" spans="1:4">
      <c r="A1257" t="s">
        <v>7399</v>
      </c>
      <c r="B1257">
        <v>27402</v>
      </c>
      <c r="C1257" t="s">
        <v>7400</v>
      </c>
      <c r="D1257" t="s">
        <v>6241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17239</v>
      </c>
      <c r="B1259">
        <v>45328</v>
      </c>
      <c r="C1259" t="s">
        <v>17240</v>
      </c>
      <c r="D1259" t="s">
        <v>6168</v>
      </c>
    </row>
    <row r="1260" spans="1:4">
      <c r="A1260" t="s">
        <v>7401</v>
      </c>
      <c r="B1260">
        <v>24364</v>
      </c>
      <c r="C1260" t="s">
        <v>7402</v>
      </c>
      <c r="D1260" t="s">
        <v>6168</v>
      </c>
    </row>
    <row r="1261" spans="1:4">
      <c r="A1261" t="s">
        <v>7403</v>
      </c>
      <c r="B1261">
        <v>41111</v>
      </c>
      <c r="C1261" t="s">
        <v>7404</v>
      </c>
      <c r="D1261" t="s">
        <v>6168</v>
      </c>
    </row>
    <row r="1262" spans="1:4">
      <c r="A1262" t="s">
        <v>7405</v>
      </c>
      <c r="B1262">
        <v>31432</v>
      </c>
      <c r="C1262" t="s">
        <v>7406</v>
      </c>
      <c r="D1262" t="s">
        <v>6168</v>
      </c>
    </row>
    <row r="1263" spans="1:4">
      <c r="A1263" t="s">
        <v>7407</v>
      </c>
      <c r="B1263">
        <v>30189</v>
      </c>
      <c r="C1263" t="s">
        <v>7408</v>
      </c>
      <c r="D1263" t="s">
        <v>6168</v>
      </c>
    </row>
    <row r="1264" spans="1:4">
      <c r="A1264" t="s">
        <v>7409</v>
      </c>
      <c r="B1264">
        <v>30187</v>
      </c>
      <c r="C1264" t="s">
        <v>7410</v>
      </c>
      <c r="D1264" t="s">
        <v>6168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7411</v>
      </c>
      <c r="B1266">
        <v>3024</v>
      </c>
      <c r="C1266" t="s">
        <v>7412</v>
      </c>
      <c r="D1266" t="s">
        <v>6168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7413</v>
      </c>
      <c r="B1269">
        <v>21665</v>
      </c>
      <c r="C1269" t="s">
        <v>7414</v>
      </c>
      <c r="D1269" t="s">
        <v>6168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7415</v>
      </c>
      <c r="B1271">
        <v>25064</v>
      </c>
      <c r="C1271" t="s">
        <v>7416</v>
      </c>
      <c r="D1271" t="s">
        <v>6168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7417</v>
      </c>
      <c r="B1273">
        <v>30543</v>
      </c>
      <c r="C1273" t="s">
        <v>7418</v>
      </c>
      <c r="D1273" t="s">
        <v>6292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7419</v>
      </c>
      <c r="B1275">
        <v>30188</v>
      </c>
      <c r="C1275" t="s">
        <v>6694</v>
      </c>
      <c r="D1275" t="s">
        <v>6168</v>
      </c>
    </row>
    <row r="1276" spans="1:4">
      <c r="A1276" t="s">
        <v>7420</v>
      </c>
      <c r="B1276">
        <v>29742</v>
      </c>
      <c r="C1276" t="s">
        <v>6409</v>
      </c>
      <c r="D1276" t="s">
        <v>6168</v>
      </c>
    </row>
    <row r="1277" spans="1:4">
      <c r="A1277" t="s">
        <v>7421</v>
      </c>
      <c r="B1277">
        <v>30190</v>
      </c>
      <c r="C1277" t="s">
        <v>7422</v>
      </c>
      <c r="D1277" t="s">
        <v>6168</v>
      </c>
    </row>
    <row r="1278" spans="1:4">
      <c r="A1278" t="s">
        <v>7423</v>
      </c>
      <c r="B1278">
        <v>30198</v>
      </c>
      <c r="C1278" t="s">
        <v>7424</v>
      </c>
      <c r="D1278" t="s">
        <v>6168</v>
      </c>
    </row>
    <row r="1279" spans="1:4">
      <c r="A1279" t="s">
        <v>7425</v>
      </c>
      <c r="B1279">
        <v>40581</v>
      </c>
      <c r="C1279" t="s">
        <v>7426</v>
      </c>
      <c r="D1279" t="s">
        <v>6245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7427</v>
      </c>
      <c r="B1282">
        <v>10229</v>
      </c>
      <c r="D1282" t="s">
        <v>6168</v>
      </c>
    </row>
    <row r="1283" spans="1:4">
      <c r="A1283" t="s">
        <v>7428</v>
      </c>
      <c r="B1283">
        <v>23339</v>
      </c>
      <c r="C1283" t="s">
        <v>3991</v>
      </c>
      <c r="D1283" t="s">
        <v>6314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7429</v>
      </c>
      <c r="B1286">
        <v>30546</v>
      </c>
      <c r="C1286" t="s">
        <v>7430</v>
      </c>
      <c r="D1286" t="s">
        <v>6168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7431</v>
      </c>
      <c r="B1288">
        <v>4047</v>
      </c>
      <c r="C1288" t="s">
        <v>7348</v>
      </c>
      <c r="D1288" t="s">
        <v>6168</v>
      </c>
    </row>
    <row r="1289" spans="1:4">
      <c r="A1289" t="s">
        <v>7432</v>
      </c>
      <c r="B1289">
        <v>30722</v>
      </c>
      <c r="C1289" t="s">
        <v>409</v>
      </c>
      <c r="D1289" t="s">
        <v>6168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7433</v>
      </c>
      <c r="B1291">
        <v>21667</v>
      </c>
      <c r="C1291" t="s">
        <v>7236</v>
      </c>
      <c r="D1291" t="s">
        <v>6168</v>
      </c>
    </row>
    <row r="1292" spans="1:4">
      <c r="A1292" t="s">
        <v>7434</v>
      </c>
      <c r="B1292">
        <v>21668</v>
      </c>
      <c r="C1292" t="s">
        <v>7435</v>
      </c>
      <c r="D1292" t="s">
        <v>6168</v>
      </c>
    </row>
    <row r="1293" spans="1:4">
      <c r="A1293" t="s">
        <v>7436</v>
      </c>
      <c r="B1293">
        <v>21669</v>
      </c>
      <c r="C1293" t="s">
        <v>7437</v>
      </c>
      <c r="D1293" t="s">
        <v>6168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7438</v>
      </c>
      <c r="B1295">
        <v>31195</v>
      </c>
      <c r="C1295" t="s">
        <v>6851</v>
      </c>
      <c r="D1295" t="s">
        <v>6168</v>
      </c>
    </row>
    <row r="1296" spans="1:4">
      <c r="A1296" t="s">
        <v>7439</v>
      </c>
      <c r="B1296">
        <v>42739</v>
      </c>
      <c r="C1296" t="s">
        <v>7440</v>
      </c>
      <c r="D1296" t="s">
        <v>6168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7441</v>
      </c>
      <c r="B1298">
        <v>21671</v>
      </c>
      <c r="C1298" t="s">
        <v>7442</v>
      </c>
      <c r="D1298" t="s">
        <v>6168</v>
      </c>
    </row>
    <row r="1299" spans="1:4">
      <c r="A1299" t="s">
        <v>7443</v>
      </c>
      <c r="B1299">
        <v>31802</v>
      </c>
      <c r="C1299" t="s">
        <v>7442</v>
      </c>
      <c r="D1299" t="s">
        <v>6168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7444</v>
      </c>
      <c r="B1301">
        <v>26411</v>
      </c>
      <c r="C1301" t="s">
        <v>3395</v>
      </c>
      <c r="D1301" t="s">
        <v>6245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7445</v>
      </c>
      <c r="B1304">
        <v>21672</v>
      </c>
      <c r="C1304" t="s">
        <v>409</v>
      </c>
      <c r="D1304" t="s">
        <v>6267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7446</v>
      </c>
      <c r="B1306">
        <v>2386</v>
      </c>
      <c r="C1306" t="s">
        <v>7447</v>
      </c>
      <c r="D1306" t="s">
        <v>6168</v>
      </c>
    </row>
    <row r="1307" spans="1:4">
      <c r="A1307" t="s">
        <v>7448</v>
      </c>
      <c r="B1307">
        <v>365</v>
      </c>
      <c r="C1307" t="s">
        <v>7449</v>
      </c>
      <c r="D1307" t="s">
        <v>6168</v>
      </c>
    </row>
    <row r="1308" spans="1:4">
      <c r="A1308" t="s">
        <v>7450</v>
      </c>
      <c r="B1308">
        <v>381</v>
      </c>
      <c r="C1308" t="s">
        <v>7451</v>
      </c>
      <c r="D1308" t="s">
        <v>6168</v>
      </c>
    </row>
    <row r="1309" spans="1:4">
      <c r="A1309" t="s">
        <v>7452</v>
      </c>
      <c r="B1309">
        <v>366</v>
      </c>
      <c r="C1309" t="s">
        <v>7451</v>
      </c>
      <c r="D1309" t="s">
        <v>6168</v>
      </c>
    </row>
    <row r="1310" spans="1:4">
      <c r="A1310" t="s">
        <v>7453</v>
      </c>
      <c r="B1310">
        <v>382</v>
      </c>
      <c r="C1310" t="s">
        <v>7454</v>
      </c>
      <c r="D1310" t="s">
        <v>6168</v>
      </c>
    </row>
    <row r="1311" spans="1:4">
      <c r="A1311" t="s">
        <v>7455</v>
      </c>
      <c r="B1311">
        <v>367</v>
      </c>
      <c r="C1311" t="s">
        <v>6271</v>
      </c>
      <c r="D1311" t="s">
        <v>6168</v>
      </c>
    </row>
    <row r="1312" spans="1:4">
      <c r="A1312" t="s">
        <v>7456</v>
      </c>
      <c r="B1312">
        <v>368</v>
      </c>
      <c r="C1312" t="s">
        <v>6533</v>
      </c>
      <c r="D1312" t="s">
        <v>6168</v>
      </c>
    </row>
    <row r="1313" spans="1:4">
      <c r="A1313" t="s">
        <v>7457</v>
      </c>
      <c r="B1313">
        <v>369</v>
      </c>
      <c r="C1313" t="s">
        <v>1432</v>
      </c>
      <c r="D1313" t="s">
        <v>6168</v>
      </c>
    </row>
    <row r="1314" spans="1:4">
      <c r="A1314" t="s">
        <v>7458</v>
      </c>
      <c r="B1314">
        <v>2387</v>
      </c>
      <c r="C1314" t="s">
        <v>7459</v>
      </c>
      <c r="D1314" t="s">
        <v>6168</v>
      </c>
    </row>
    <row r="1315" spans="1:4">
      <c r="A1315" t="s">
        <v>7460</v>
      </c>
      <c r="B1315">
        <v>3174</v>
      </c>
      <c r="C1315" t="s">
        <v>7461</v>
      </c>
      <c r="D1315" t="s">
        <v>6168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7462</v>
      </c>
      <c r="B1317">
        <v>32268</v>
      </c>
      <c r="C1317" t="s">
        <v>7463</v>
      </c>
      <c r="D1317" t="s">
        <v>6168</v>
      </c>
    </row>
    <row r="1318" spans="1:4">
      <c r="A1318" t="s">
        <v>7464</v>
      </c>
      <c r="B1318">
        <v>370</v>
      </c>
      <c r="C1318" t="s">
        <v>7465</v>
      </c>
      <c r="D1318" t="s">
        <v>6168</v>
      </c>
    </row>
    <row r="1319" spans="1:4">
      <c r="A1319" t="s">
        <v>7466</v>
      </c>
      <c r="B1319">
        <v>371</v>
      </c>
      <c r="C1319" t="s">
        <v>7449</v>
      </c>
      <c r="D1319" t="s">
        <v>6168</v>
      </c>
    </row>
    <row r="1320" spans="1:4">
      <c r="A1320" t="s">
        <v>7467</v>
      </c>
      <c r="B1320">
        <v>372</v>
      </c>
      <c r="C1320" t="s">
        <v>7468</v>
      </c>
      <c r="D1320" t="s">
        <v>6168</v>
      </c>
    </row>
    <row r="1321" spans="1:4">
      <c r="A1321" t="s">
        <v>7469</v>
      </c>
      <c r="B1321">
        <v>31732</v>
      </c>
      <c r="C1321" t="s">
        <v>7470</v>
      </c>
      <c r="D1321" t="s">
        <v>6168</v>
      </c>
    </row>
    <row r="1322" spans="1:4">
      <c r="A1322" t="s">
        <v>7471</v>
      </c>
      <c r="B1322">
        <v>373</v>
      </c>
      <c r="C1322" t="s">
        <v>7451</v>
      </c>
      <c r="D1322" t="s">
        <v>6168</v>
      </c>
    </row>
    <row r="1323" spans="1:4">
      <c r="A1323" t="s">
        <v>7472</v>
      </c>
      <c r="B1323">
        <v>2385</v>
      </c>
      <c r="C1323" t="s">
        <v>7473</v>
      </c>
      <c r="D1323" t="s">
        <v>6168</v>
      </c>
    </row>
    <row r="1324" spans="1:4">
      <c r="A1324" t="s">
        <v>7474</v>
      </c>
      <c r="B1324">
        <v>374</v>
      </c>
      <c r="C1324" t="s">
        <v>7475</v>
      </c>
      <c r="D1324" t="s">
        <v>6168</v>
      </c>
    </row>
    <row r="1325" spans="1:4">
      <c r="A1325" t="s">
        <v>7476</v>
      </c>
      <c r="B1325">
        <v>375</v>
      </c>
      <c r="C1325" t="s">
        <v>7477</v>
      </c>
      <c r="D1325" t="s">
        <v>6168</v>
      </c>
    </row>
    <row r="1326" spans="1:4">
      <c r="A1326" t="s">
        <v>7478</v>
      </c>
      <c r="B1326">
        <v>376</v>
      </c>
      <c r="C1326" t="s">
        <v>7449</v>
      </c>
      <c r="D1326" t="s">
        <v>6168</v>
      </c>
    </row>
    <row r="1327" spans="1:4">
      <c r="A1327" t="s">
        <v>7479</v>
      </c>
      <c r="B1327">
        <v>377</v>
      </c>
      <c r="C1327" t="s">
        <v>7451</v>
      </c>
      <c r="D1327" t="s">
        <v>6168</v>
      </c>
    </row>
    <row r="1328" spans="1:4">
      <c r="A1328" t="s">
        <v>7480</v>
      </c>
      <c r="B1328">
        <v>26119</v>
      </c>
      <c r="D1328" t="s">
        <v>6168</v>
      </c>
    </row>
    <row r="1329" spans="1:4">
      <c r="A1329" t="s">
        <v>7481</v>
      </c>
      <c r="B1329">
        <v>30824</v>
      </c>
      <c r="C1329" t="s">
        <v>7482</v>
      </c>
      <c r="D1329" t="s">
        <v>6168</v>
      </c>
    </row>
    <row r="1330" spans="1:4">
      <c r="A1330" t="s">
        <v>7483</v>
      </c>
      <c r="B1330">
        <v>379</v>
      </c>
      <c r="C1330" t="s">
        <v>7484</v>
      </c>
      <c r="D1330" t="s">
        <v>6168</v>
      </c>
    </row>
    <row r="1331" spans="1:4">
      <c r="A1331" t="s">
        <v>7485</v>
      </c>
      <c r="B1331">
        <v>380</v>
      </c>
      <c r="C1331" t="s">
        <v>1421</v>
      </c>
      <c r="D1331" t="s">
        <v>6168</v>
      </c>
    </row>
    <row r="1332" spans="1:4">
      <c r="A1332" t="s">
        <v>7486</v>
      </c>
      <c r="B1332">
        <v>21673</v>
      </c>
      <c r="D1332" t="s">
        <v>6314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7487</v>
      </c>
      <c r="B1334">
        <v>31679</v>
      </c>
      <c r="C1334" t="s">
        <v>7488</v>
      </c>
      <c r="D1334" t="s">
        <v>6168</v>
      </c>
    </row>
    <row r="1335" spans="1:4">
      <c r="A1335" t="s">
        <v>7489</v>
      </c>
      <c r="B1335">
        <v>32246</v>
      </c>
      <c r="C1335" t="s">
        <v>7490</v>
      </c>
      <c r="D1335" t="s">
        <v>6168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7491</v>
      </c>
      <c r="B1338">
        <v>23326</v>
      </c>
      <c r="D1338" t="s">
        <v>6267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7492</v>
      </c>
      <c r="B1340">
        <v>23154</v>
      </c>
      <c r="C1340" t="s">
        <v>1466</v>
      </c>
      <c r="D1340" t="s">
        <v>6314</v>
      </c>
    </row>
    <row r="1341" spans="1:4">
      <c r="A1341" t="s">
        <v>7493</v>
      </c>
      <c r="B1341">
        <v>3652</v>
      </c>
      <c r="C1341" t="s">
        <v>5295</v>
      </c>
      <c r="D1341" t="s">
        <v>6230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7494</v>
      </c>
      <c r="B1343">
        <v>39717</v>
      </c>
      <c r="C1343" t="s">
        <v>3484</v>
      </c>
      <c r="D1343" t="s">
        <v>6248</v>
      </c>
    </row>
    <row r="1344" spans="1:4">
      <c r="A1344" t="s">
        <v>7495</v>
      </c>
      <c r="B1344">
        <v>29737</v>
      </c>
      <c r="C1344" t="s">
        <v>5684</v>
      </c>
      <c r="D1344" t="s">
        <v>6168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7496</v>
      </c>
      <c r="B1346">
        <v>3654</v>
      </c>
      <c r="C1346" t="s">
        <v>3899</v>
      </c>
      <c r="D1346" t="s">
        <v>6168</v>
      </c>
    </row>
    <row r="1347" spans="1:4">
      <c r="A1347" t="s">
        <v>7497</v>
      </c>
      <c r="B1347">
        <v>3655</v>
      </c>
      <c r="D1347" t="s">
        <v>6168</v>
      </c>
    </row>
    <row r="1348" spans="1:4">
      <c r="A1348" t="s">
        <v>7498</v>
      </c>
      <c r="B1348">
        <v>26407</v>
      </c>
      <c r="C1348" t="s">
        <v>4950</v>
      </c>
      <c r="D1348" t="s">
        <v>6168</v>
      </c>
    </row>
    <row r="1349" spans="1:4">
      <c r="A1349" t="s">
        <v>7499</v>
      </c>
      <c r="B1349">
        <v>3656</v>
      </c>
      <c r="C1349" t="s">
        <v>7500</v>
      </c>
      <c r="D1349" t="s">
        <v>6168</v>
      </c>
    </row>
    <row r="1350" spans="1:4">
      <c r="A1350" t="s">
        <v>7501</v>
      </c>
      <c r="B1350">
        <v>3657</v>
      </c>
      <c r="C1350" t="s">
        <v>3899</v>
      </c>
      <c r="D1350" t="s">
        <v>6168</v>
      </c>
    </row>
    <row r="1351" spans="1:4">
      <c r="A1351" t="s">
        <v>7502</v>
      </c>
      <c r="B1351">
        <v>3658</v>
      </c>
      <c r="C1351" t="s">
        <v>7500</v>
      </c>
      <c r="D1351" t="s">
        <v>6168</v>
      </c>
    </row>
    <row r="1352" spans="1:4">
      <c r="A1352" t="s">
        <v>7503</v>
      </c>
      <c r="B1352">
        <v>22875</v>
      </c>
      <c r="C1352" t="s">
        <v>3899</v>
      </c>
      <c r="D1352" t="s">
        <v>6168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17241</v>
      </c>
      <c r="B1354">
        <v>45329</v>
      </c>
      <c r="C1354" t="s">
        <v>4950</v>
      </c>
      <c r="D1354" t="s">
        <v>6168</v>
      </c>
    </row>
    <row r="1355" spans="1:4">
      <c r="A1355" t="s">
        <v>7504</v>
      </c>
      <c r="B1355">
        <v>21675</v>
      </c>
      <c r="C1355" t="s">
        <v>6239</v>
      </c>
      <c r="D1355" t="s">
        <v>6168</v>
      </c>
    </row>
    <row r="1356" spans="1:4">
      <c r="A1356" t="s">
        <v>7505</v>
      </c>
      <c r="B1356">
        <v>32510</v>
      </c>
      <c r="C1356" t="s">
        <v>7506</v>
      </c>
      <c r="D1356" t="s">
        <v>6168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7507</v>
      </c>
      <c r="B1359">
        <v>29601</v>
      </c>
      <c r="C1359" t="s">
        <v>6194</v>
      </c>
      <c r="D1359" t="s">
        <v>6168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7508</v>
      </c>
      <c r="B1363">
        <v>40579</v>
      </c>
      <c r="C1363" t="s">
        <v>4950</v>
      </c>
      <c r="D1363" t="s">
        <v>6168</v>
      </c>
    </row>
    <row r="1364" spans="1:4">
      <c r="A1364" t="s">
        <v>7509</v>
      </c>
      <c r="B1364">
        <v>37801</v>
      </c>
      <c r="C1364" t="s">
        <v>6914</v>
      </c>
      <c r="D1364" t="s">
        <v>6168</v>
      </c>
    </row>
    <row r="1365" spans="1:4">
      <c r="A1365" t="s">
        <v>7510</v>
      </c>
      <c r="B1365">
        <v>21677</v>
      </c>
      <c r="C1365" t="s">
        <v>6178</v>
      </c>
      <c r="D1365" t="s">
        <v>6168</v>
      </c>
    </row>
    <row r="1366" spans="1:4">
      <c r="A1366" t="s">
        <v>7511</v>
      </c>
      <c r="B1366">
        <v>4741</v>
      </c>
      <c r="D1366" t="s">
        <v>6245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7512</v>
      </c>
      <c r="B1368">
        <v>21679</v>
      </c>
      <c r="C1368" t="s">
        <v>7513</v>
      </c>
      <c r="D1368" t="s">
        <v>6168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17242</v>
      </c>
      <c r="B1370">
        <v>45330</v>
      </c>
      <c r="C1370" t="s">
        <v>6182</v>
      </c>
      <c r="D1370" t="s">
        <v>6168</v>
      </c>
    </row>
    <row r="1371" spans="1:4">
      <c r="A1371" t="s">
        <v>7514</v>
      </c>
      <c r="B1371">
        <v>30626</v>
      </c>
      <c r="C1371" t="s">
        <v>7515</v>
      </c>
      <c r="D1371" t="s">
        <v>6168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7516</v>
      </c>
      <c r="B1373">
        <v>1012</v>
      </c>
      <c r="C1373" t="s">
        <v>4950</v>
      </c>
      <c r="D1373" t="s">
        <v>6168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7517</v>
      </c>
      <c r="B1375">
        <v>23624</v>
      </c>
      <c r="C1375" t="s">
        <v>7518</v>
      </c>
      <c r="D1375" t="s">
        <v>6168</v>
      </c>
    </row>
    <row r="1376" spans="1:4">
      <c r="A1376" t="s">
        <v>7519</v>
      </c>
      <c r="B1376">
        <v>23625</v>
      </c>
      <c r="C1376" t="s">
        <v>3045</v>
      </c>
      <c r="D1376" t="s">
        <v>6168</v>
      </c>
    </row>
    <row r="1377" spans="1:4">
      <c r="A1377" t="s">
        <v>7520</v>
      </c>
      <c r="B1377">
        <v>23626</v>
      </c>
      <c r="C1377" t="s">
        <v>6974</v>
      </c>
      <c r="D1377" t="s">
        <v>6168</v>
      </c>
    </row>
    <row r="1378" spans="1:4">
      <c r="A1378" t="s">
        <v>7521</v>
      </c>
      <c r="B1378">
        <v>30204</v>
      </c>
      <c r="C1378" t="s">
        <v>7522</v>
      </c>
      <c r="D1378" t="s">
        <v>6168</v>
      </c>
    </row>
    <row r="1379" spans="1:4">
      <c r="A1379" t="s">
        <v>7523</v>
      </c>
      <c r="B1379">
        <v>30196</v>
      </c>
      <c r="C1379" t="s">
        <v>1395</v>
      </c>
      <c r="D1379" t="s">
        <v>6168</v>
      </c>
    </row>
    <row r="1380" spans="1:4">
      <c r="A1380" t="s">
        <v>7524</v>
      </c>
      <c r="B1380">
        <v>31119</v>
      </c>
      <c r="C1380" t="s">
        <v>2876</v>
      </c>
      <c r="D1380" t="s">
        <v>6168</v>
      </c>
    </row>
    <row r="1381" spans="1:4">
      <c r="A1381" t="s">
        <v>7525</v>
      </c>
      <c r="B1381">
        <v>25449</v>
      </c>
      <c r="C1381" t="s">
        <v>7526</v>
      </c>
      <c r="D1381" t="s">
        <v>6168</v>
      </c>
    </row>
    <row r="1382" spans="1:4">
      <c r="A1382" t="s">
        <v>7527</v>
      </c>
      <c r="B1382">
        <v>23627</v>
      </c>
      <c r="C1382" t="s">
        <v>6657</v>
      </c>
      <c r="D1382" t="s">
        <v>6168</v>
      </c>
    </row>
    <row r="1383" spans="1:4">
      <c r="A1383" t="s">
        <v>7528</v>
      </c>
      <c r="B1383">
        <v>30199</v>
      </c>
      <c r="C1383" t="s">
        <v>7522</v>
      </c>
      <c r="D1383" t="s">
        <v>6168</v>
      </c>
    </row>
    <row r="1384" spans="1:4">
      <c r="A1384" t="s">
        <v>7529</v>
      </c>
      <c r="B1384">
        <v>24057</v>
      </c>
      <c r="C1384" t="s">
        <v>7530</v>
      </c>
      <c r="D1384" t="s">
        <v>6168</v>
      </c>
    </row>
    <row r="1385" spans="1:4">
      <c r="A1385" t="s">
        <v>7531</v>
      </c>
      <c r="B1385">
        <v>30197</v>
      </c>
      <c r="C1385" t="s">
        <v>7532</v>
      </c>
      <c r="D1385" t="s">
        <v>6168</v>
      </c>
    </row>
    <row r="1386" spans="1:4">
      <c r="A1386" t="s">
        <v>7533</v>
      </c>
      <c r="B1386">
        <v>23628</v>
      </c>
      <c r="C1386" t="s">
        <v>7518</v>
      </c>
      <c r="D1386" t="s">
        <v>6168</v>
      </c>
    </row>
    <row r="1387" spans="1:4">
      <c r="A1387" t="s">
        <v>7534</v>
      </c>
      <c r="B1387">
        <v>30200</v>
      </c>
      <c r="C1387" t="s">
        <v>7532</v>
      </c>
      <c r="D1387" t="s">
        <v>6168</v>
      </c>
    </row>
    <row r="1388" spans="1:4">
      <c r="A1388" t="s">
        <v>7535</v>
      </c>
      <c r="B1388">
        <v>35092</v>
      </c>
      <c r="C1388" t="s">
        <v>7532</v>
      </c>
      <c r="D1388" t="s">
        <v>6168</v>
      </c>
    </row>
    <row r="1389" spans="1:4">
      <c r="A1389" t="s">
        <v>7536</v>
      </c>
      <c r="B1389">
        <v>23629</v>
      </c>
      <c r="C1389" t="s">
        <v>7537</v>
      </c>
      <c r="D1389" t="s">
        <v>6168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7538</v>
      </c>
      <c r="B1392">
        <v>2975</v>
      </c>
      <c r="C1392" t="s">
        <v>7539</v>
      </c>
      <c r="D1392" t="s">
        <v>6168</v>
      </c>
    </row>
    <row r="1393" spans="1:4">
      <c r="A1393" t="s">
        <v>7540</v>
      </c>
      <c r="B1393">
        <v>2976</v>
      </c>
      <c r="D1393" t="s">
        <v>6168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7541</v>
      </c>
      <c r="B1396">
        <v>3080</v>
      </c>
      <c r="C1396" t="s">
        <v>7542</v>
      </c>
      <c r="D1396" t="s">
        <v>6168</v>
      </c>
    </row>
    <row r="1397" spans="1:4">
      <c r="A1397" t="s">
        <v>7543</v>
      </c>
      <c r="B1397">
        <v>10199</v>
      </c>
      <c r="C1397" t="s">
        <v>7544</v>
      </c>
      <c r="D1397" t="s">
        <v>6241</v>
      </c>
    </row>
    <row r="1398" spans="1:4">
      <c r="A1398" t="s">
        <v>17381</v>
      </c>
      <c r="B1398">
        <v>45476</v>
      </c>
      <c r="C1398" t="s">
        <v>2941</v>
      </c>
      <c r="D1398" t="s">
        <v>123</v>
      </c>
    </row>
    <row r="1399" spans="1:4">
      <c r="A1399" t="s">
        <v>17432</v>
      </c>
      <c r="B1399">
        <v>45721</v>
      </c>
      <c r="C1399" t="s">
        <v>8809</v>
      </c>
      <c r="D1399" t="s">
        <v>6168</v>
      </c>
    </row>
    <row r="1400" spans="1:4">
      <c r="A1400" t="s">
        <v>17243</v>
      </c>
      <c r="B1400">
        <v>45331</v>
      </c>
      <c r="C1400" t="s">
        <v>17244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7545</v>
      </c>
      <c r="B1404">
        <v>24537</v>
      </c>
      <c r="C1404" t="s">
        <v>6194</v>
      </c>
      <c r="D1404" t="s">
        <v>6168</v>
      </c>
    </row>
    <row r="1405" spans="1:4">
      <c r="A1405" t="s">
        <v>7546</v>
      </c>
      <c r="B1405">
        <v>23630</v>
      </c>
      <c r="C1405" t="s">
        <v>7547</v>
      </c>
      <c r="D1405" t="s">
        <v>6168</v>
      </c>
    </row>
    <row r="1406" spans="1:4">
      <c r="A1406" t="s">
        <v>7548</v>
      </c>
      <c r="B1406">
        <v>35294</v>
      </c>
      <c r="C1406" t="s">
        <v>7549</v>
      </c>
      <c r="D1406" t="s">
        <v>6168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7550</v>
      </c>
      <c r="B1410">
        <v>21681</v>
      </c>
      <c r="C1410" t="s">
        <v>7551</v>
      </c>
      <c r="D1410" t="s">
        <v>6168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7552</v>
      </c>
      <c r="B1412">
        <v>21682</v>
      </c>
      <c r="C1412" t="s">
        <v>7553</v>
      </c>
      <c r="D1412" t="s">
        <v>6168</v>
      </c>
    </row>
    <row r="1413" spans="1:4">
      <c r="A1413" t="s">
        <v>7554</v>
      </c>
      <c r="B1413">
        <v>21683</v>
      </c>
      <c r="C1413" t="s">
        <v>7555</v>
      </c>
      <c r="D1413" t="s">
        <v>6168</v>
      </c>
    </row>
    <row r="1414" spans="1:4">
      <c r="A1414" t="s">
        <v>7556</v>
      </c>
      <c r="B1414">
        <v>21684</v>
      </c>
      <c r="C1414" t="s">
        <v>7557</v>
      </c>
      <c r="D1414" t="s">
        <v>6168</v>
      </c>
    </row>
    <row r="1415" spans="1:4">
      <c r="A1415" t="s">
        <v>7558</v>
      </c>
      <c r="B1415">
        <v>21685</v>
      </c>
      <c r="C1415" t="s">
        <v>7559</v>
      </c>
      <c r="D1415" t="s">
        <v>6168</v>
      </c>
    </row>
    <row r="1416" spans="1:4">
      <c r="A1416" t="s">
        <v>7560</v>
      </c>
      <c r="B1416">
        <v>21686</v>
      </c>
      <c r="C1416" t="s">
        <v>7561</v>
      </c>
      <c r="D1416" t="s">
        <v>6168</v>
      </c>
    </row>
    <row r="1417" spans="1:4">
      <c r="A1417" t="s">
        <v>7562</v>
      </c>
      <c r="B1417">
        <v>21687</v>
      </c>
      <c r="C1417" t="s">
        <v>2107</v>
      </c>
      <c r="D1417" t="s">
        <v>6168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7563</v>
      </c>
      <c r="B1419">
        <v>21688</v>
      </c>
      <c r="C1419" t="s">
        <v>409</v>
      </c>
      <c r="D1419" t="s">
        <v>6267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7564</v>
      </c>
      <c r="B1421">
        <v>2376</v>
      </c>
      <c r="C1421" t="s">
        <v>1475</v>
      </c>
      <c r="D1421" t="s">
        <v>6168</v>
      </c>
    </row>
    <row r="1422" spans="1:4">
      <c r="A1422" t="s">
        <v>7565</v>
      </c>
      <c r="B1422">
        <v>32243</v>
      </c>
      <c r="C1422" t="s">
        <v>7566</v>
      </c>
      <c r="D1422" t="s">
        <v>6168</v>
      </c>
    </row>
    <row r="1423" spans="1:4">
      <c r="A1423" t="s">
        <v>7567</v>
      </c>
      <c r="B1423">
        <v>2377</v>
      </c>
      <c r="C1423" t="s">
        <v>6760</v>
      </c>
      <c r="D1423" t="s">
        <v>6168</v>
      </c>
    </row>
    <row r="1424" spans="1:4">
      <c r="A1424" t="s">
        <v>7568</v>
      </c>
      <c r="B1424">
        <v>2378</v>
      </c>
      <c r="C1424" t="s">
        <v>7329</v>
      </c>
      <c r="D1424" t="s">
        <v>6168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7569</v>
      </c>
      <c r="B1426">
        <v>334</v>
      </c>
      <c r="C1426" t="s">
        <v>1475</v>
      </c>
      <c r="D1426" t="s">
        <v>6168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7570</v>
      </c>
      <c r="B1429">
        <v>2379</v>
      </c>
      <c r="C1429" t="s">
        <v>16684</v>
      </c>
      <c r="D1429" t="s">
        <v>6168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7571</v>
      </c>
      <c r="B1431">
        <v>332</v>
      </c>
      <c r="C1431" t="s">
        <v>7572</v>
      </c>
      <c r="D1431" t="s">
        <v>6168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7573</v>
      </c>
      <c r="B1433">
        <v>41722</v>
      </c>
      <c r="C1433" t="s">
        <v>7574</v>
      </c>
      <c r="D1433" t="s">
        <v>6267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7575</v>
      </c>
      <c r="B1436">
        <v>41645</v>
      </c>
      <c r="C1436" t="s">
        <v>7576</v>
      </c>
      <c r="D1436" t="s">
        <v>6168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7577</v>
      </c>
      <c r="B1438">
        <v>4171</v>
      </c>
      <c r="C1438" t="s">
        <v>7578</v>
      </c>
      <c r="D1438" t="s">
        <v>6168</v>
      </c>
    </row>
    <row r="1439" spans="1:4">
      <c r="A1439" t="s">
        <v>7579</v>
      </c>
      <c r="B1439">
        <v>23631</v>
      </c>
      <c r="C1439" t="s">
        <v>3896</v>
      </c>
      <c r="D1439" t="s">
        <v>6245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7580</v>
      </c>
      <c r="B1441">
        <v>20724</v>
      </c>
      <c r="D1441" t="s">
        <v>6267</v>
      </c>
    </row>
    <row r="1442" spans="1:4">
      <c r="A1442" t="s">
        <v>7581</v>
      </c>
      <c r="B1442">
        <v>2518</v>
      </c>
      <c r="C1442" t="s">
        <v>2267</v>
      </c>
      <c r="D1442" t="s">
        <v>6305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7582</v>
      </c>
      <c r="B1444">
        <v>2544</v>
      </c>
      <c r="C1444" t="s">
        <v>7583</v>
      </c>
      <c r="D1444" t="s">
        <v>6168</v>
      </c>
    </row>
    <row r="1445" spans="1:4">
      <c r="A1445" t="s">
        <v>7584</v>
      </c>
      <c r="B1445">
        <v>2545</v>
      </c>
      <c r="D1445" t="s">
        <v>6168</v>
      </c>
    </row>
    <row r="1446" spans="1:4">
      <c r="A1446" t="s">
        <v>7585</v>
      </c>
      <c r="B1446">
        <v>2546</v>
      </c>
      <c r="C1446" t="s">
        <v>7586</v>
      </c>
      <c r="D1446" t="s">
        <v>6168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7587</v>
      </c>
      <c r="B1448">
        <v>29433</v>
      </c>
      <c r="C1448" t="s">
        <v>6194</v>
      </c>
      <c r="D1448" t="s">
        <v>6168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7588</v>
      </c>
      <c r="B1450">
        <v>131</v>
      </c>
      <c r="C1450" t="s">
        <v>7589</v>
      </c>
      <c r="D1450" t="s">
        <v>6168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7590</v>
      </c>
      <c r="B1452">
        <v>21690</v>
      </c>
      <c r="C1452" t="s">
        <v>7591</v>
      </c>
      <c r="D1452" t="s">
        <v>6168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7592</v>
      </c>
      <c r="B1455">
        <v>35667</v>
      </c>
      <c r="C1455" t="s">
        <v>7593</v>
      </c>
      <c r="D1455" t="s">
        <v>6168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7594</v>
      </c>
      <c r="B1458">
        <v>38926</v>
      </c>
      <c r="D1458" t="s">
        <v>6292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7595</v>
      </c>
      <c r="B1460">
        <v>29877</v>
      </c>
      <c r="C1460" t="s">
        <v>4950</v>
      </c>
      <c r="D1460" t="s">
        <v>6168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7596</v>
      </c>
      <c r="B1462">
        <v>2982</v>
      </c>
      <c r="C1462" t="s">
        <v>2220</v>
      </c>
      <c r="D1462" t="s">
        <v>6168</v>
      </c>
    </row>
    <row r="1463" spans="1:4">
      <c r="A1463" t="s">
        <v>7597</v>
      </c>
      <c r="B1463">
        <v>20573</v>
      </c>
      <c r="C1463" t="s">
        <v>7598</v>
      </c>
      <c r="D1463" t="s">
        <v>6305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7599</v>
      </c>
      <c r="B1465">
        <v>2434</v>
      </c>
      <c r="D1465" t="s">
        <v>6168</v>
      </c>
    </row>
    <row r="1466" spans="1:4">
      <c r="A1466" t="s">
        <v>7600</v>
      </c>
      <c r="B1466">
        <v>2428</v>
      </c>
      <c r="C1466" t="s">
        <v>7601</v>
      </c>
      <c r="D1466" t="s">
        <v>6168</v>
      </c>
    </row>
    <row r="1467" spans="1:4">
      <c r="A1467" t="s">
        <v>7602</v>
      </c>
      <c r="B1467">
        <v>2429</v>
      </c>
      <c r="C1467" t="s">
        <v>7603</v>
      </c>
      <c r="D1467" t="s">
        <v>6168</v>
      </c>
    </row>
    <row r="1468" spans="1:4">
      <c r="A1468" t="s">
        <v>7604</v>
      </c>
      <c r="B1468">
        <v>2430</v>
      </c>
      <c r="C1468" t="s">
        <v>7605</v>
      </c>
      <c r="D1468" t="s">
        <v>6168</v>
      </c>
    </row>
    <row r="1469" spans="1:4">
      <c r="A1469" t="s">
        <v>7606</v>
      </c>
      <c r="B1469">
        <v>2431</v>
      </c>
      <c r="C1469" t="s">
        <v>7607</v>
      </c>
      <c r="D1469" t="s">
        <v>6168</v>
      </c>
    </row>
    <row r="1470" spans="1:4">
      <c r="A1470" t="s">
        <v>7608</v>
      </c>
      <c r="B1470">
        <v>2432</v>
      </c>
      <c r="D1470" t="s">
        <v>6168</v>
      </c>
    </row>
    <row r="1471" spans="1:4">
      <c r="A1471" t="s">
        <v>7609</v>
      </c>
      <c r="B1471">
        <v>2433</v>
      </c>
      <c r="C1471" t="s">
        <v>7610</v>
      </c>
      <c r="D1471" t="s">
        <v>6168</v>
      </c>
    </row>
    <row r="1472" spans="1:4">
      <c r="A1472" t="s">
        <v>7611</v>
      </c>
      <c r="B1472">
        <v>2435</v>
      </c>
      <c r="C1472" t="s">
        <v>7612</v>
      </c>
      <c r="D1472" t="s">
        <v>6168</v>
      </c>
    </row>
    <row r="1473" spans="1:4">
      <c r="A1473" t="s">
        <v>7613</v>
      </c>
      <c r="B1473">
        <v>2436</v>
      </c>
      <c r="C1473" t="s">
        <v>7614</v>
      </c>
      <c r="D1473" t="s">
        <v>6168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7615</v>
      </c>
      <c r="B1475">
        <v>35950</v>
      </c>
      <c r="C1475" t="s">
        <v>7005</v>
      </c>
      <c r="D1475" t="s">
        <v>6168</v>
      </c>
    </row>
    <row r="1476" spans="1:4">
      <c r="A1476" t="s">
        <v>7616</v>
      </c>
      <c r="B1476">
        <v>40578</v>
      </c>
      <c r="C1476" t="s">
        <v>7617</v>
      </c>
      <c r="D1476" t="s">
        <v>6245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7618</v>
      </c>
      <c r="B1479">
        <v>21692</v>
      </c>
      <c r="C1479" t="s">
        <v>7619</v>
      </c>
      <c r="D1479" t="s">
        <v>6168</v>
      </c>
    </row>
    <row r="1480" spans="1:4">
      <c r="A1480" t="s">
        <v>7620</v>
      </c>
      <c r="B1480">
        <v>21693</v>
      </c>
      <c r="C1480" t="s">
        <v>7621</v>
      </c>
      <c r="D1480" t="s">
        <v>6168</v>
      </c>
    </row>
    <row r="1481" spans="1:4">
      <c r="A1481" t="s">
        <v>7622</v>
      </c>
      <c r="B1481">
        <v>21694</v>
      </c>
      <c r="C1481" t="s">
        <v>7623</v>
      </c>
      <c r="D1481" t="s">
        <v>6168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7624</v>
      </c>
      <c r="B1483">
        <v>30211</v>
      </c>
      <c r="C1483" t="s">
        <v>7625</v>
      </c>
      <c r="D1483" t="s">
        <v>6168</v>
      </c>
    </row>
    <row r="1484" spans="1:4">
      <c r="A1484" t="s">
        <v>7626</v>
      </c>
      <c r="B1484">
        <v>32497</v>
      </c>
      <c r="C1484" t="s">
        <v>7627</v>
      </c>
      <c r="D1484" t="s">
        <v>6168</v>
      </c>
    </row>
    <row r="1485" spans="1:4">
      <c r="A1485" t="s">
        <v>7628</v>
      </c>
      <c r="B1485">
        <v>29609</v>
      </c>
      <c r="C1485" t="s">
        <v>6317</v>
      </c>
      <c r="D1485" t="s">
        <v>6168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7629</v>
      </c>
      <c r="B1488">
        <v>3029</v>
      </c>
      <c r="C1488" t="s">
        <v>7630</v>
      </c>
      <c r="D1488" t="s">
        <v>6168</v>
      </c>
    </row>
    <row r="1489" spans="1:4">
      <c r="A1489" t="s">
        <v>7631</v>
      </c>
      <c r="B1489">
        <v>3030</v>
      </c>
      <c r="C1489" t="s">
        <v>4950</v>
      </c>
      <c r="D1489" t="s">
        <v>6168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7632</v>
      </c>
      <c r="B1491">
        <v>39444</v>
      </c>
      <c r="C1491" t="s">
        <v>7633</v>
      </c>
      <c r="D1491" t="s">
        <v>6267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7634</v>
      </c>
      <c r="B1493">
        <v>24059</v>
      </c>
      <c r="C1493" t="s">
        <v>6851</v>
      </c>
      <c r="D1493" t="s">
        <v>6168</v>
      </c>
    </row>
    <row r="1494" spans="1:4">
      <c r="A1494" t="s">
        <v>7635</v>
      </c>
      <c r="B1494">
        <v>25760</v>
      </c>
      <c r="C1494" t="s">
        <v>6583</v>
      </c>
      <c r="D1494" t="s">
        <v>6168</v>
      </c>
    </row>
    <row r="1495" spans="1:4">
      <c r="A1495" t="s">
        <v>7636</v>
      </c>
      <c r="B1495">
        <v>5125</v>
      </c>
      <c r="C1495" t="s">
        <v>1273</v>
      </c>
      <c r="D1495" t="s">
        <v>6605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7637</v>
      </c>
      <c r="B1497">
        <v>41540</v>
      </c>
      <c r="C1497" t="s">
        <v>7638</v>
      </c>
      <c r="D1497" t="s">
        <v>6168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7639</v>
      </c>
      <c r="B1499">
        <v>21696</v>
      </c>
      <c r="C1499" t="s">
        <v>6190</v>
      </c>
      <c r="D1499" t="s">
        <v>6168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7640</v>
      </c>
      <c r="B1503">
        <v>29338</v>
      </c>
      <c r="C1503" t="s">
        <v>7641</v>
      </c>
      <c r="D1503" t="s">
        <v>6168</v>
      </c>
    </row>
    <row r="1504" spans="1:4">
      <c r="A1504" t="s">
        <v>7642</v>
      </c>
      <c r="B1504">
        <v>24539</v>
      </c>
      <c r="C1504" t="s">
        <v>7643</v>
      </c>
      <c r="D1504" t="s">
        <v>6168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7644</v>
      </c>
      <c r="B1506">
        <v>33887</v>
      </c>
      <c r="C1506" t="s">
        <v>7645</v>
      </c>
      <c r="D1506" t="s">
        <v>6168</v>
      </c>
    </row>
    <row r="1507" spans="1:4">
      <c r="A1507" t="s">
        <v>7646</v>
      </c>
      <c r="B1507">
        <v>23633</v>
      </c>
      <c r="D1507" t="s">
        <v>6168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7647</v>
      </c>
      <c r="B1509">
        <v>30201</v>
      </c>
      <c r="C1509" t="s">
        <v>2801</v>
      </c>
      <c r="D1509" t="s">
        <v>6168</v>
      </c>
    </row>
    <row r="1510" spans="1:4">
      <c r="A1510" t="s">
        <v>7648</v>
      </c>
      <c r="B1510">
        <v>33890</v>
      </c>
      <c r="C1510" t="s">
        <v>7649</v>
      </c>
      <c r="D1510" t="s">
        <v>6168</v>
      </c>
    </row>
    <row r="1511" spans="1:4">
      <c r="A1511" t="s">
        <v>17245</v>
      </c>
      <c r="B1511">
        <v>45332</v>
      </c>
      <c r="C1511" t="s">
        <v>17246</v>
      </c>
      <c r="D1511" t="s">
        <v>6168</v>
      </c>
    </row>
    <row r="1512" spans="1:4">
      <c r="A1512" t="s">
        <v>7650</v>
      </c>
      <c r="B1512">
        <v>25450</v>
      </c>
      <c r="C1512" t="s">
        <v>3079</v>
      </c>
      <c r="D1512" t="s">
        <v>6168</v>
      </c>
    </row>
    <row r="1513" spans="1:4">
      <c r="A1513" t="s">
        <v>7651</v>
      </c>
      <c r="B1513">
        <v>24540</v>
      </c>
      <c r="C1513" t="s">
        <v>6317</v>
      </c>
      <c r="D1513" t="s">
        <v>6168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7652</v>
      </c>
      <c r="B1515">
        <v>23634</v>
      </c>
      <c r="C1515" t="s">
        <v>7653</v>
      </c>
      <c r="D1515" t="s">
        <v>6267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7654</v>
      </c>
      <c r="B1517">
        <v>43416</v>
      </c>
      <c r="C1517" t="s">
        <v>7655</v>
      </c>
      <c r="D1517" t="s">
        <v>6168</v>
      </c>
    </row>
    <row r="1518" spans="1:4">
      <c r="A1518" t="s">
        <v>7656</v>
      </c>
      <c r="B1518">
        <v>41541</v>
      </c>
      <c r="C1518" t="s">
        <v>6388</v>
      </c>
      <c r="D1518" t="s">
        <v>6168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7657</v>
      </c>
      <c r="B1521">
        <v>4173</v>
      </c>
      <c r="C1521" t="s">
        <v>6689</v>
      </c>
      <c r="D1521" t="s">
        <v>6168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7658</v>
      </c>
      <c r="B1523">
        <v>4121</v>
      </c>
      <c r="C1523" t="s">
        <v>4950</v>
      </c>
      <c r="D1523" t="s">
        <v>6168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7659</v>
      </c>
      <c r="B1525">
        <v>42163</v>
      </c>
      <c r="C1525" t="s">
        <v>6219</v>
      </c>
      <c r="D1525" t="s">
        <v>6168</v>
      </c>
    </row>
    <row r="1526" spans="1:4">
      <c r="A1526" t="s">
        <v>7660</v>
      </c>
      <c r="B1526">
        <v>31194</v>
      </c>
      <c r="D1526" t="s">
        <v>6245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17433</v>
      </c>
      <c r="B1530">
        <v>45722</v>
      </c>
      <c r="C1530" t="s">
        <v>264</v>
      </c>
      <c r="D1530" t="s">
        <v>6267</v>
      </c>
    </row>
    <row r="1531" spans="1:4">
      <c r="A1531" t="s">
        <v>7661</v>
      </c>
      <c r="B1531">
        <v>33894</v>
      </c>
      <c r="C1531" t="s">
        <v>7662</v>
      </c>
      <c r="D1531" t="s">
        <v>6314</v>
      </c>
    </row>
    <row r="1532" spans="1:4">
      <c r="A1532" t="s">
        <v>17503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7663</v>
      </c>
      <c r="B1534">
        <v>20344</v>
      </c>
      <c r="C1534" t="s">
        <v>7664</v>
      </c>
      <c r="D1534" t="s">
        <v>6168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7665</v>
      </c>
      <c r="B1538">
        <v>30549</v>
      </c>
      <c r="C1538" t="s">
        <v>6219</v>
      </c>
      <c r="D1538" t="s">
        <v>6168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7666</v>
      </c>
      <c r="B1540">
        <v>21698</v>
      </c>
      <c r="C1540" t="s">
        <v>7667</v>
      </c>
      <c r="D1540" t="s">
        <v>6168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16703</v>
      </c>
      <c r="D1542" t="s">
        <v>123</v>
      </c>
    </row>
    <row r="1543" spans="1:4">
      <c r="A1543" t="s">
        <v>7668</v>
      </c>
      <c r="B1543">
        <v>42388</v>
      </c>
      <c r="C1543" t="s">
        <v>4950</v>
      </c>
      <c r="D1543" t="s">
        <v>6168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7669</v>
      </c>
      <c r="B1545">
        <v>23584</v>
      </c>
      <c r="C1545" t="s">
        <v>2317</v>
      </c>
      <c r="D1545" t="s">
        <v>6248</v>
      </c>
    </row>
    <row r="1546" spans="1:4">
      <c r="A1546" t="s">
        <v>7670</v>
      </c>
      <c r="B1546">
        <v>23635</v>
      </c>
      <c r="C1546" t="s">
        <v>463</v>
      </c>
      <c r="D1546" t="s">
        <v>6168</v>
      </c>
    </row>
    <row r="1547" spans="1:4">
      <c r="A1547" t="s">
        <v>7671</v>
      </c>
      <c r="B1547">
        <v>23585</v>
      </c>
      <c r="C1547" t="s">
        <v>7672</v>
      </c>
      <c r="D1547" t="s">
        <v>6248</v>
      </c>
    </row>
    <row r="1548" spans="1:4">
      <c r="A1548" t="s">
        <v>7673</v>
      </c>
      <c r="B1548">
        <v>23636</v>
      </c>
      <c r="C1548" t="s">
        <v>7674</v>
      </c>
      <c r="D1548" t="s">
        <v>6168</v>
      </c>
    </row>
    <row r="1549" spans="1:4">
      <c r="A1549" t="s">
        <v>7675</v>
      </c>
      <c r="B1549">
        <v>3635</v>
      </c>
      <c r="C1549" t="s">
        <v>16680</v>
      </c>
      <c r="D1549" t="s">
        <v>6168</v>
      </c>
    </row>
    <row r="1550" spans="1:4">
      <c r="A1550" t="s">
        <v>7676</v>
      </c>
      <c r="B1550">
        <v>3636</v>
      </c>
      <c r="C1550" t="s">
        <v>7677</v>
      </c>
      <c r="D1550" t="s">
        <v>6168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7678</v>
      </c>
      <c r="B1553">
        <v>21701</v>
      </c>
      <c r="C1553" t="s">
        <v>6558</v>
      </c>
      <c r="D1553" t="s">
        <v>6168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7679</v>
      </c>
      <c r="B1555">
        <v>32419</v>
      </c>
      <c r="C1555" t="s">
        <v>2559</v>
      </c>
      <c r="D1555" t="s">
        <v>6168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7680</v>
      </c>
      <c r="B1558">
        <v>30213</v>
      </c>
      <c r="C1558" t="s">
        <v>7681</v>
      </c>
      <c r="D1558" t="s">
        <v>6168</v>
      </c>
    </row>
    <row r="1559" spans="1:4">
      <c r="A1559" t="s">
        <v>7682</v>
      </c>
      <c r="B1559">
        <v>4414</v>
      </c>
      <c r="C1559" t="s">
        <v>7683</v>
      </c>
      <c r="D1559" t="s">
        <v>6168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7684</v>
      </c>
      <c r="B1562">
        <v>31193</v>
      </c>
      <c r="C1562" t="s">
        <v>6598</v>
      </c>
      <c r="D1562" t="s">
        <v>6168</v>
      </c>
    </row>
    <row r="1563" spans="1:4">
      <c r="A1563" t="s">
        <v>7685</v>
      </c>
      <c r="B1563">
        <v>31192</v>
      </c>
      <c r="C1563" t="s">
        <v>7686</v>
      </c>
      <c r="D1563" t="s">
        <v>6168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7687</v>
      </c>
      <c r="B1565">
        <v>671</v>
      </c>
      <c r="C1565" t="s">
        <v>7688</v>
      </c>
      <c r="D1565" t="s">
        <v>6168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7689</v>
      </c>
      <c r="B1567">
        <v>23637</v>
      </c>
      <c r="C1567" t="s">
        <v>7690</v>
      </c>
      <c r="D1567" t="s">
        <v>6168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7691</v>
      </c>
      <c r="B1570">
        <v>9798</v>
      </c>
      <c r="C1570" t="s">
        <v>6966</v>
      </c>
      <c r="D1570" t="s">
        <v>6168</v>
      </c>
    </row>
    <row r="1571" spans="1:4">
      <c r="A1571" t="s">
        <v>7692</v>
      </c>
      <c r="B1571">
        <v>4157</v>
      </c>
      <c r="C1571" t="s">
        <v>136</v>
      </c>
      <c r="D1571" t="s">
        <v>6168</v>
      </c>
    </row>
    <row r="1572" spans="1:4">
      <c r="A1572" t="s">
        <v>7693</v>
      </c>
      <c r="B1572">
        <v>10181</v>
      </c>
      <c r="C1572" t="s">
        <v>7694</v>
      </c>
      <c r="D1572" t="s">
        <v>6168</v>
      </c>
    </row>
    <row r="1573" spans="1:4">
      <c r="A1573" t="s">
        <v>7695</v>
      </c>
      <c r="B1573">
        <v>10182</v>
      </c>
      <c r="C1573" t="s">
        <v>133</v>
      </c>
      <c r="D1573" t="s">
        <v>6168</v>
      </c>
    </row>
    <row r="1574" spans="1:4">
      <c r="A1574" t="s">
        <v>7696</v>
      </c>
      <c r="B1574">
        <v>21702</v>
      </c>
      <c r="D1574" t="s">
        <v>6872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7697</v>
      </c>
      <c r="B1577">
        <v>267</v>
      </c>
      <c r="C1577" t="s">
        <v>7698</v>
      </c>
      <c r="D1577" t="s">
        <v>6168</v>
      </c>
    </row>
    <row r="1578" spans="1:4">
      <c r="A1578" t="s">
        <v>7699</v>
      </c>
      <c r="B1578">
        <v>266</v>
      </c>
      <c r="C1578" t="s">
        <v>1421</v>
      </c>
      <c r="D1578" t="s">
        <v>6168</v>
      </c>
    </row>
    <row r="1579" spans="1:4">
      <c r="A1579" t="s">
        <v>7700</v>
      </c>
      <c r="B1579">
        <v>20574</v>
      </c>
      <c r="D1579" t="s">
        <v>6230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7701</v>
      </c>
      <c r="B1581">
        <v>31147</v>
      </c>
      <c r="C1581" t="s">
        <v>7702</v>
      </c>
      <c r="D1581" t="s">
        <v>6168</v>
      </c>
    </row>
    <row r="1582" spans="1:4">
      <c r="A1582" t="s">
        <v>7703</v>
      </c>
      <c r="B1582">
        <v>469</v>
      </c>
      <c r="C1582" t="s">
        <v>1421</v>
      </c>
      <c r="D1582" t="s">
        <v>6168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7704</v>
      </c>
      <c r="B1584">
        <v>43088</v>
      </c>
      <c r="C1584" t="s">
        <v>3548</v>
      </c>
      <c r="D1584" t="s">
        <v>6230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7705</v>
      </c>
      <c r="B1586">
        <v>21704</v>
      </c>
      <c r="C1586" t="s">
        <v>7706</v>
      </c>
      <c r="D1586" t="s">
        <v>6168</v>
      </c>
    </row>
    <row r="1587" spans="1:4">
      <c r="A1587" t="s">
        <v>7707</v>
      </c>
      <c r="B1587">
        <v>21705</v>
      </c>
      <c r="C1587" t="s">
        <v>585</v>
      </c>
      <c r="D1587" t="s">
        <v>6267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7708</v>
      </c>
      <c r="B1589">
        <v>27377</v>
      </c>
      <c r="C1589" t="s">
        <v>7709</v>
      </c>
      <c r="D1589" t="s">
        <v>6168</v>
      </c>
    </row>
    <row r="1590" spans="1:4">
      <c r="A1590" t="s">
        <v>7710</v>
      </c>
      <c r="B1590">
        <v>27376</v>
      </c>
      <c r="C1590" t="s">
        <v>16695</v>
      </c>
      <c r="D1590" t="s">
        <v>6168</v>
      </c>
    </row>
    <row r="1591" spans="1:4">
      <c r="A1591" t="s">
        <v>7711</v>
      </c>
      <c r="B1591">
        <v>21707</v>
      </c>
      <c r="C1591" t="s">
        <v>7712</v>
      </c>
      <c r="D1591" t="s">
        <v>6168</v>
      </c>
    </row>
    <row r="1592" spans="1:4">
      <c r="A1592" t="s">
        <v>7713</v>
      </c>
      <c r="B1592">
        <v>21708</v>
      </c>
      <c r="C1592" t="s">
        <v>7714</v>
      </c>
      <c r="D1592" t="s">
        <v>6168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7715</v>
      </c>
      <c r="B1595">
        <v>3973</v>
      </c>
      <c r="C1595" t="s">
        <v>7716</v>
      </c>
      <c r="D1595" t="s">
        <v>6168</v>
      </c>
    </row>
    <row r="1596" spans="1:4">
      <c r="A1596" t="s">
        <v>7717</v>
      </c>
      <c r="B1596">
        <v>3974</v>
      </c>
      <c r="C1596" t="s">
        <v>7718</v>
      </c>
      <c r="D1596" t="s">
        <v>6168</v>
      </c>
    </row>
    <row r="1597" spans="1:4">
      <c r="A1597" t="s">
        <v>7719</v>
      </c>
      <c r="B1597">
        <v>3972</v>
      </c>
      <c r="C1597" t="s">
        <v>7720</v>
      </c>
      <c r="D1597" t="s">
        <v>6168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7721</v>
      </c>
      <c r="B1599">
        <v>2256</v>
      </c>
      <c r="C1599" t="s">
        <v>7722</v>
      </c>
      <c r="D1599" t="s">
        <v>6168</v>
      </c>
    </row>
    <row r="1600" spans="1:4">
      <c r="A1600" t="s">
        <v>7723</v>
      </c>
      <c r="B1600">
        <v>6</v>
      </c>
      <c r="C1600" t="s">
        <v>7724</v>
      </c>
      <c r="D1600" t="s">
        <v>6168</v>
      </c>
    </row>
    <row r="1601" spans="1:4">
      <c r="A1601" t="s">
        <v>7725</v>
      </c>
      <c r="B1601">
        <v>8</v>
      </c>
      <c r="C1601" t="s">
        <v>7589</v>
      </c>
      <c r="D1601" t="s">
        <v>6168</v>
      </c>
    </row>
    <row r="1602" spans="1:4">
      <c r="A1602" t="s">
        <v>7726</v>
      </c>
      <c r="B1602">
        <v>4</v>
      </c>
      <c r="C1602" t="s">
        <v>7727</v>
      </c>
      <c r="D1602" t="s">
        <v>6168</v>
      </c>
    </row>
    <row r="1603" spans="1:4">
      <c r="A1603" t="s">
        <v>7728</v>
      </c>
      <c r="B1603">
        <v>5</v>
      </c>
      <c r="C1603" t="s">
        <v>7729</v>
      </c>
      <c r="D1603" t="s">
        <v>6168</v>
      </c>
    </row>
    <row r="1604" spans="1:4">
      <c r="A1604" t="s">
        <v>7730</v>
      </c>
      <c r="B1604">
        <v>7</v>
      </c>
      <c r="C1604" t="s">
        <v>7731</v>
      </c>
      <c r="D1604" t="s">
        <v>6168</v>
      </c>
    </row>
    <row r="1605" spans="1:4">
      <c r="A1605" t="s">
        <v>16939</v>
      </c>
      <c r="B1605">
        <v>44004</v>
      </c>
      <c r="C1605" t="s">
        <v>16940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7732</v>
      </c>
      <c r="B1607">
        <v>40576</v>
      </c>
      <c r="C1607" t="s">
        <v>7733</v>
      </c>
      <c r="D1607" t="s">
        <v>6168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7734</v>
      </c>
      <c r="B1609">
        <v>3176</v>
      </c>
      <c r="C1609" t="s">
        <v>6817</v>
      </c>
      <c r="D1609" t="s">
        <v>6168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7735</v>
      </c>
      <c r="B1611">
        <v>673</v>
      </c>
      <c r="C1611" t="s">
        <v>6436</v>
      </c>
      <c r="D1611" t="s">
        <v>6168</v>
      </c>
    </row>
    <row r="1612" spans="1:4">
      <c r="A1612" t="s">
        <v>7736</v>
      </c>
      <c r="B1612">
        <v>3278</v>
      </c>
      <c r="D1612" t="s">
        <v>6292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17247</v>
      </c>
      <c r="B1614">
        <v>45333</v>
      </c>
      <c r="C1614" t="s">
        <v>10196</v>
      </c>
      <c r="D1614" t="s">
        <v>6168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7737</v>
      </c>
      <c r="B1616">
        <v>5192</v>
      </c>
      <c r="D1616" t="s">
        <v>6245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7738</v>
      </c>
      <c r="B1619">
        <v>23638</v>
      </c>
      <c r="C1619" t="s">
        <v>7739</v>
      </c>
      <c r="D1619" t="s">
        <v>6168</v>
      </c>
    </row>
    <row r="1620" spans="1:4">
      <c r="A1620" t="s">
        <v>7740</v>
      </c>
      <c r="B1620">
        <v>26404</v>
      </c>
      <c r="C1620" t="s">
        <v>7741</v>
      </c>
      <c r="D1620" t="s">
        <v>6168</v>
      </c>
    </row>
    <row r="1621" spans="1:4">
      <c r="A1621" t="s">
        <v>7742</v>
      </c>
      <c r="B1621">
        <v>35235</v>
      </c>
      <c r="C1621" t="s">
        <v>7743</v>
      </c>
      <c r="D1621" t="s">
        <v>6168</v>
      </c>
    </row>
    <row r="1622" spans="1:4">
      <c r="A1622" t="s">
        <v>7744</v>
      </c>
      <c r="B1622">
        <v>29443</v>
      </c>
      <c r="C1622" t="s">
        <v>7745</v>
      </c>
      <c r="D1622" t="s">
        <v>6168</v>
      </c>
    </row>
    <row r="1623" spans="1:4">
      <c r="A1623" t="s">
        <v>7746</v>
      </c>
      <c r="B1623">
        <v>23639</v>
      </c>
      <c r="C1623" t="s">
        <v>2755</v>
      </c>
      <c r="D1623" t="s">
        <v>6168</v>
      </c>
    </row>
    <row r="1624" spans="1:4">
      <c r="A1624" t="s">
        <v>7747</v>
      </c>
      <c r="B1624">
        <v>2971</v>
      </c>
      <c r="C1624" t="s">
        <v>5360</v>
      </c>
      <c r="D1624" t="s">
        <v>6605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7748</v>
      </c>
      <c r="B1626">
        <v>40575</v>
      </c>
      <c r="C1626" t="s">
        <v>7749</v>
      </c>
      <c r="D1626" t="s">
        <v>6168</v>
      </c>
    </row>
    <row r="1627" spans="1:4">
      <c r="A1627" t="s">
        <v>7750</v>
      </c>
      <c r="B1627">
        <v>35965</v>
      </c>
      <c r="C1627" t="s">
        <v>7751</v>
      </c>
      <c r="D1627" t="s">
        <v>6168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7752</v>
      </c>
      <c r="D1630" t="s">
        <v>6241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7753</v>
      </c>
      <c r="B1632">
        <v>952</v>
      </c>
      <c r="C1632" t="s">
        <v>4909</v>
      </c>
      <c r="D1632" t="s">
        <v>6168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7754</v>
      </c>
      <c r="B1634">
        <v>35256</v>
      </c>
      <c r="C1634" t="s">
        <v>7755</v>
      </c>
      <c r="D1634" t="s">
        <v>6168</v>
      </c>
    </row>
    <row r="1635" spans="1:4">
      <c r="A1635" t="s">
        <v>7756</v>
      </c>
      <c r="B1635">
        <v>30548</v>
      </c>
      <c r="C1635" t="s">
        <v>7757</v>
      </c>
      <c r="D1635" t="s">
        <v>6168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7758</v>
      </c>
      <c r="B1637">
        <v>20492</v>
      </c>
      <c r="C1637" t="s">
        <v>7712</v>
      </c>
      <c r="D1637" t="s">
        <v>6168</v>
      </c>
    </row>
    <row r="1638" spans="1:4">
      <c r="A1638" t="s">
        <v>7759</v>
      </c>
      <c r="B1638">
        <v>21709</v>
      </c>
      <c r="C1638" t="s">
        <v>6201</v>
      </c>
      <c r="D1638" t="s">
        <v>6168</v>
      </c>
    </row>
    <row r="1639" spans="1:4">
      <c r="A1639" t="s">
        <v>7760</v>
      </c>
      <c r="B1639">
        <v>21710</v>
      </c>
      <c r="C1639" t="s">
        <v>7761</v>
      </c>
      <c r="D1639" t="s">
        <v>6168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7762</v>
      </c>
      <c r="B1641">
        <v>36308</v>
      </c>
      <c r="C1641" t="s">
        <v>7763</v>
      </c>
      <c r="D1641" t="s">
        <v>6168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7764</v>
      </c>
      <c r="B1644">
        <v>39643</v>
      </c>
      <c r="C1644" t="s">
        <v>7765</v>
      </c>
      <c r="D1644" t="s">
        <v>6230</v>
      </c>
    </row>
    <row r="1645" spans="1:4">
      <c r="A1645" t="s">
        <v>7766</v>
      </c>
      <c r="B1645">
        <v>39648</v>
      </c>
      <c r="C1645" t="s">
        <v>2654</v>
      </c>
      <c r="D1645" t="s">
        <v>6267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7767</v>
      </c>
      <c r="B1647">
        <v>29579</v>
      </c>
      <c r="C1647" t="s">
        <v>7768</v>
      </c>
      <c r="D1647" t="s">
        <v>6168</v>
      </c>
    </row>
    <row r="1648" spans="1:4">
      <c r="A1648" t="s">
        <v>7769</v>
      </c>
      <c r="B1648">
        <v>30205</v>
      </c>
      <c r="C1648" t="s">
        <v>7770</v>
      </c>
      <c r="D1648" t="s">
        <v>6168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7771</v>
      </c>
      <c r="B1650">
        <v>25398</v>
      </c>
      <c r="C1650" t="s">
        <v>7772</v>
      </c>
      <c r="D1650" t="s">
        <v>6168</v>
      </c>
    </row>
    <row r="1651" spans="1:4">
      <c r="A1651" t="s">
        <v>7773</v>
      </c>
      <c r="B1651">
        <v>31116</v>
      </c>
      <c r="C1651" t="s">
        <v>7774</v>
      </c>
      <c r="D1651" t="s">
        <v>6168</v>
      </c>
    </row>
    <row r="1652" spans="1:4">
      <c r="A1652" t="s">
        <v>7775</v>
      </c>
      <c r="B1652">
        <v>39574</v>
      </c>
      <c r="C1652" t="s">
        <v>7776</v>
      </c>
      <c r="D1652" t="s">
        <v>6267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7777</v>
      </c>
      <c r="B1655">
        <v>521</v>
      </c>
      <c r="C1655" t="s">
        <v>7778</v>
      </c>
      <c r="D1655" t="s">
        <v>6168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7779</v>
      </c>
      <c r="B1657">
        <v>1087</v>
      </c>
      <c r="D1657" t="s">
        <v>6872</v>
      </c>
    </row>
    <row r="1658" spans="1:4">
      <c r="A1658" t="s">
        <v>7780</v>
      </c>
      <c r="B1658">
        <v>40574</v>
      </c>
      <c r="C1658" t="s">
        <v>7781</v>
      </c>
      <c r="D1658" t="s">
        <v>6245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7782</v>
      </c>
      <c r="B1661">
        <v>29629</v>
      </c>
      <c r="C1661" t="s">
        <v>6409</v>
      </c>
      <c r="D1661" t="s">
        <v>6168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7783</v>
      </c>
      <c r="B1663">
        <v>21711</v>
      </c>
      <c r="C1663" t="s">
        <v>264</v>
      </c>
      <c r="D1663" t="s">
        <v>6267</v>
      </c>
    </row>
    <row r="1664" spans="1:4">
      <c r="A1664" t="s">
        <v>7784</v>
      </c>
      <c r="B1664">
        <v>21712</v>
      </c>
      <c r="C1664" t="s">
        <v>264</v>
      </c>
      <c r="D1664" t="s">
        <v>6305</v>
      </c>
    </row>
    <row r="1665" spans="1:4">
      <c r="A1665" t="s">
        <v>7785</v>
      </c>
      <c r="B1665">
        <v>21713</v>
      </c>
      <c r="D1665" t="s">
        <v>6314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7786</v>
      </c>
      <c r="B1667">
        <v>3342</v>
      </c>
      <c r="C1667" t="s">
        <v>4950</v>
      </c>
      <c r="D1667" t="s">
        <v>6168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7787</v>
      </c>
      <c r="B1669">
        <v>19369</v>
      </c>
      <c r="C1669" t="s">
        <v>7788</v>
      </c>
      <c r="D1669" t="s">
        <v>6168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7789</v>
      </c>
      <c r="B1672">
        <v>21714</v>
      </c>
      <c r="C1672" t="s">
        <v>927</v>
      </c>
      <c r="D1672" t="s">
        <v>6168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7790</v>
      </c>
      <c r="B1674">
        <v>21716</v>
      </c>
      <c r="C1674" t="s">
        <v>7236</v>
      </c>
      <c r="D1674" t="s">
        <v>6168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7791</v>
      </c>
      <c r="B1676">
        <v>29882</v>
      </c>
      <c r="C1676" t="s">
        <v>7792</v>
      </c>
      <c r="D1676" t="s">
        <v>6168</v>
      </c>
    </row>
    <row r="1677" spans="1:4">
      <c r="A1677" t="s">
        <v>7793</v>
      </c>
      <c r="B1677">
        <v>29876</v>
      </c>
      <c r="C1677" t="s">
        <v>6219</v>
      </c>
      <c r="D1677" t="s">
        <v>6168</v>
      </c>
    </row>
    <row r="1678" spans="1:4">
      <c r="A1678" t="s">
        <v>7794</v>
      </c>
      <c r="B1678">
        <v>34117</v>
      </c>
      <c r="C1678" t="s">
        <v>7795</v>
      </c>
      <c r="D1678" t="s">
        <v>6168</v>
      </c>
    </row>
    <row r="1679" spans="1:4">
      <c r="A1679" t="s">
        <v>7796</v>
      </c>
      <c r="B1679">
        <v>29878</v>
      </c>
      <c r="C1679" t="s">
        <v>7797</v>
      </c>
      <c r="D1679" t="s">
        <v>6168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7798</v>
      </c>
      <c r="B1682">
        <v>43418</v>
      </c>
      <c r="C1682" t="s">
        <v>4950</v>
      </c>
      <c r="D1682" t="s">
        <v>6168</v>
      </c>
    </row>
    <row r="1683" spans="1:4">
      <c r="A1683" t="s">
        <v>7799</v>
      </c>
      <c r="B1683">
        <v>43083</v>
      </c>
      <c r="C1683" t="s">
        <v>7800</v>
      </c>
      <c r="D1683" t="s">
        <v>6168</v>
      </c>
    </row>
    <row r="1684" spans="1:4">
      <c r="A1684" t="s">
        <v>7801</v>
      </c>
      <c r="B1684">
        <v>40573</v>
      </c>
      <c r="C1684" t="s">
        <v>16701</v>
      </c>
      <c r="D1684" t="s">
        <v>6168</v>
      </c>
    </row>
    <row r="1685" spans="1:4">
      <c r="A1685" t="s">
        <v>7802</v>
      </c>
      <c r="B1685">
        <v>41115</v>
      </c>
      <c r="C1685" t="s">
        <v>7803</v>
      </c>
      <c r="D1685" t="s">
        <v>6168</v>
      </c>
    </row>
    <row r="1686" spans="1:4">
      <c r="A1686" t="s">
        <v>7804</v>
      </c>
      <c r="B1686">
        <v>40572</v>
      </c>
      <c r="C1686" t="s">
        <v>7805</v>
      </c>
      <c r="D1686" t="s">
        <v>6168</v>
      </c>
    </row>
    <row r="1687" spans="1:4">
      <c r="A1687" t="s">
        <v>7806</v>
      </c>
      <c r="B1687">
        <v>43419</v>
      </c>
      <c r="C1687" t="s">
        <v>7803</v>
      </c>
      <c r="D1687" t="s">
        <v>6168</v>
      </c>
    </row>
    <row r="1688" spans="1:4">
      <c r="A1688" t="s">
        <v>7807</v>
      </c>
      <c r="B1688">
        <v>40571</v>
      </c>
      <c r="C1688" t="s">
        <v>7808</v>
      </c>
      <c r="D1688" t="s">
        <v>6168</v>
      </c>
    </row>
    <row r="1689" spans="1:4">
      <c r="A1689" t="s">
        <v>7809</v>
      </c>
      <c r="B1689">
        <v>29598</v>
      </c>
      <c r="C1689" t="s">
        <v>3371</v>
      </c>
      <c r="D1689" t="s">
        <v>6314</v>
      </c>
    </row>
    <row r="1690" spans="1:4">
      <c r="A1690" t="s">
        <v>16982</v>
      </c>
      <c r="B1690">
        <v>44046</v>
      </c>
      <c r="C1690" t="s">
        <v>16983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7810</v>
      </c>
      <c r="B1692">
        <v>9823</v>
      </c>
      <c r="C1692" t="s">
        <v>7811</v>
      </c>
      <c r="D1692" t="s">
        <v>6168</v>
      </c>
    </row>
    <row r="1693" spans="1:4">
      <c r="A1693" t="s">
        <v>7812</v>
      </c>
      <c r="B1693">
        <v>1014</v>
      </c>
      <c r="C1693" t="s">
        <v>7813</v>
      </c>
      <c r="D1693" t="s">
        <v>6168</v>
      </c>
    </row>
    <row r="1694" spans="1:4">
      <c r="A1694" t="s">
        <v>7814</v>
      </c>
      <c r="B1694">
        <v>3038</v>
      </c>
      <c r="C1694" t="s">
        <v>7815</v>
      </c>
      <c r="D1694" t="s">
        <v>6168</v>
      </c>
    </row>
    <row r="1695" spans="1:4">
      <c r="A1695" t="s">
        <v>7816</v>
      </c>
      <c r="B1695">
        <v>31737</v>
      </c>
      <c r="C1695" t="s">
        <v>7817</v>
      </c>
      <c r="D1695" t="s">
        <v>6449</v>
      </c>
    </row>
    <row r="1696" spans="1:4">
      <c r="A1696" t="s">
        <v>17382</v>
      </c>
      <c r="B1696">
        <v>45477</v>
      </c>
      <c r="C1696" t="s">
        <v>1273</v>
      </c>
      <c r="D1696" t="s">
        <v>123</v>
      </c>
    </row>
    <row r="1697" spans="1:4">
      <c r="A1697" t="s">
        <v>17434</v>
      </c>
      <c r="B1697">
        <v>45723</v>
      </c>
      <c r="C1697" t="s">
        <v>8205</v>
      </c>
      <c r="D1697" t="s">
        <v>6168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7818</v>
      </c>
      <c r="B1699">
        <v>21718</v>
      </c>
      <c r="C1699" t="s">
        <v>7819</v>
      </c>
      <c r="D1699" t="s">
        <v>6168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17248</v>
      </c>
      <c r="B1701">
        <v>45334</v>
      </c>
      <c r="C1701" t="s">
        <v>1206</v>
      </c>
      <c r="D1701" t="s">
        <v>134</v>
      </c>
    </row>
    <row r="1702" spans="1:4">
      <c r="A1702" t="s">
        <v>7820</v>
      </c>
      <c r="B1702">
        <v>39447</v>
      </c>
      <c r="C1702" t="s">
        <v>7821</v>
      </c>
      <c r="D1702" t="s">
        <v>6267</v>
      </c>
    </row>
    <row r="1703" spans="1:4">
      <c r="A1703" t="s">
        <v>16935</v>
      </c>
      <c r="B1703">
        <v>43999</v>
      </c>
      <c r="C1703" t="s">
        <v>1237</v>
      </c>
      <c r="D1703" t="s">
        <v>134</v>
      </c>
    </row>
    <row r="1704" spans="1:4">
      <c r="A1704" t="s">
        <v>7822</v>
      </c>
      <c r="B1704">
        <v>39449</v>
      </c>
      <c r="C1704" t="s">
        <v>1206</v>
      </c>
      <c r="D1704" t="s">
        <v>6314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7823</v>
      </c>
      <c r="B1706">
        <v>29600</v>
      </c>
      <c r="C1706" t="s">
        <v>6914</v>
      </c>
      <c r="D1706" t="s">
        <v>6168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7824</v>
      </c>
      <c r="B1708">
        <v>20611</v>
      </c>
      <c r="C1708" t="s">
        <v>1882</v>
      </c>
      <c r="D1708" t="s">
        <v>6314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7825</v>
      </c>
      <c r="B1712">
        <v>3027</v>
      </c>
      <c r="C1712" t="s">
        <v>7826</v>
      </c>
      <c r="D1712" t="s">
        <v>6168</v>
      </c>
    </row>
    <row r="1713" spans="1:4">
      <c r="A1713" t="s">
        <v>7827</v>
      </c>
      <c r="B1713">
        <v>3028</v>
      </c>
      <c r="C1713" t="s">
        <v>7828</v>
      </c>
      <c r="D1713" t="s">
        <v>6168</v>
      </c>
    </row>
    <row r="1714" spans="1:4">
      <c r="A1714" t="s">
        <v>7829</v>
      </c>
      <c r="B1714">
        <v>19294</v>
      </c>
      <c r="C1714" t="s">
        <v>7830</v>
      </c>
      <c r="D1714" t="s">
        <v>6168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7831</v>
      </c>
      <c r="B1717">
        <v>19293</v>
      </c>
      <c r="C1717" t="s">
        <v>7832</v>
      </c>
      <c r="D1717" t="s">
        <v>6168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7833</v>
      </c>
      <c r="B1719">
        <v>21721</v>
      </c>
      <c r="C1719" t="s">
        <v>7834</v>
      </c>
      <c r="D1719" t="s">
        <v>6168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7835</v>
      </c>
      <c r="B1721">
        <v>29589</v>
      </c>
      <c r="C1721" t="s">
        <v>6219</v>
      </c>
      <c r="D1721" t="s">
        <v>6168</v>
      </c>
    </row>
    <row r="1722" spans="1:4">
      <c r="A1722" t="s">
        <v>7836</v>
      </c>
      <c r="B1722">
        <v>42017</v>
      </c>
      <c r="C1722" t="s">
        <v>636</v>
      </c>
      <c r="D1722" t="s">
        <v>6168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7837</v>
      </c>
      <c r="B1726">
        <v>29599</v>
      </c>
      <c r="C1726" t="s">
        <v>6194</v>
      </c>
      <c r="D1726" t="s">
        <v>6168</v>
      </c>
    </row>
    <row r="1727" spans="1:4">
      <c r="A1727" t="s">
        <v>7838</v>
      </c>
      <c r="B1727">
        <v>29553</v>
      </c>
      <c r="C1727" t="s">
        <v>7839</v>
      </c>
      <c r="D1727" t="s">
        <v>6168</v>
      </c>
    </row>
    <row r="1728" spans="1:4">
      <c r="A1728" t="s">
        <v>7840</v>
      </c>
      <c r="B1728">
        <v>35289</v>
      </c>
      <c r="C1728" t="s">
        <v>6194</v>
      </c>
      <c r="D1728" t="s">
        <v>6168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7841</v>
      </c>
      <c r="B1731">
        <v>458</v>
      </c>
      <c r="C1731" t="s">
        <v>7842</v>
      </c>
      <c r="D1731" t="s">
        <v>6168</v>
      </c>
    </row>
    <row r="1732" spans="1:4">
      <c r="A1732" t="s">
        <v>7843</v>
      </c>
      <c r="B1732">
        <v>41944</v>
      </c>
      <c r="C1732" t="s">
        <v>6617</v>
      </c>
      <c r="D1732" t="s">
        <v>6168</v>
      </c>
    </row>
    <row r="1733" spans="1:4">
      <c r="A1733" t="s">
        <v>7844</v>
      </c>
      <c r="B1733">
        <v>41943</v>
      </c>
      <c r="C1733" t="s">
        <v>6617</v>
      </c>
      <c r="D1733" t="s">
        <v>6168</v>
      </c>
    </row>
    <row r="1734" spans="1:4">
      <c r="A1734" t="s">
        <v>7845</v>
      </c>
      <c r="B1734">
        <v>459</v>
      </c>
      <c r="C1734" t="s">
        <v>4950</v>
      </c>
      <c r="D1734" t="s">
        <v>6168</v>
      </c>
    </row>
    <row r="1735" spans="1:4">
      <c r="A1735" t="s">
        <v>7846</v>
      </c>
      <c r="B1735">
        <v>460</v>
      </c>
      <c r="C1735" t="s">
        <v>6817</v>
      </c>
      <c r="D1735" t="s">
        <v>6168</v>
      </c>
    </row>
    <row r="1736" spans="1:4">
      <c r="A1736" t="s">
        <v>7847</v>
      </c>
      <c r="B1736">
        <v>461</v>
      </c>
      <c r="C1736" t="s">
        <v>6817</v>
      </c>
      <c r="D1736" t="s">
        <v>6168</v>
      </c>
    </row>
    <row r="1737" spans="1:4">
      <c r="A1737" t="s">
        <v>7848</v>
      </c>
      <c r="B1737">
        <v>462</v>
      </c>
      <c r="C1737" t="s">
        <v>1607</v>
      </c>
      <c r="D1737" t="s">
        <v>6168</v>
      </c>
    </row>
    <row r="1738" spans="1:4">
      <c r="A1738" t="s">
        <v>7849</v>
      </c>
      <c r="B1738">
        <v>463</v>
      </c>
      <c r="C1738" t="s">
        <v>7490</v>
      </c>
      <c r="D1738" t="s">
        <v>6168</v>
      </c>
    </row>
    <row r="1739" spans="1:4">
      <c r="A1739" t="s">
        <v>7850</v>
      </c>
      <c r="B1739">
        <v>464</v>
      </c>
      <c r="C1739" t="s">
        <v>7851</v>
      </c>
      <c r="D1739" t="s">
        <v>6168</v>
      </c>
    </row>
    <row r="1740" spans="1:4">
      <c r="A1740" t="s">
        <v>7852</v>
      </c>
      <c r="B1740">
        <v>465</v>
      </c>
      <c r="D1740" t="s">
        <v>6168</v>
      </c>
    </row>
    <row r="1741" spans="1:4">
      <c r="A1741" t="s">
        <v>7853</v>
      </c>
      <c r="B1741">
        <v>466</v>
      </c>
      <c r="C1741" t="s">
        <v>7854</v>
      </c>
      <c r="D1741" t="s">
        <v>6168</v>
      </c>
    </row>
    <row r="1742" spans="1:4">
      <c r="A1742" t="s">
        <v>7855</v>
      </c>
      <c r="B1742">
        <v>467</v>
      </c>
      <c r="C1742" t="s">
        <v>7854</v>
      </c>
      <c r="D1742" t="s">
        <v>6168</v>
      </c>
    </row>
    <row r="1743" spans="1:4">
      <c r="A1743" t="s">
        <v>7856</v>
      </c>
      <c r="B1743">
        <v>21722</v>
      </c>
      <c r="C1743" t="s">
        <v>7857</v>
      </c>
      <c r="D1743" t="s">
        <v>6241</v>
      </c>
    </row>
    <row r="1744" spans="1:4">
      <c r="A1744" t="s">
        <v>7858</v>
      </c>
      <c r="B1744">
        <v>23177</v>
      </c>
      <c r="D1744" t="s">
        <v>6314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7859</v>
      </c>
      <c r="B1746">
        <v>343</v>
      </c>
      <c r="C1746" t="s">
        <v>987</v>
      </c>
      <c r="D1746" t="s">
        <v>6168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7860</v>
      </c>
      <c r="B1748">
        <v>23083</v>
      </c>
      <c r="C1748" t="s">
        <v>672</v>
      </c>
      <c r="D1748" t="s">
        <v>6267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7861</v>
      </c>
      <c r="B1751">
        <v>3665</v>
      </c>
      <c r="C1751" t="s">
        <v>7862</v>
      </c>
      <c r="D1751" t="s">
        <v>6245</v>
      </c>
    </row>
    <row r="1752" spans="1:4">
      <c r="A1752" t="s">
        <v>7863</v>
      </c>
      <c r="B1752">
        <v>30711</v>
      </c>
      <c r="C1752" t="s">
        <v>7864</v>
      </c>
      <c r="D1752" t="s">
        <v>6168</v>
      </c>
    </row>
    <row r="1753" spans="1:4">
      <c r="A1753" t="s">
        <v>7865</v>
      </c>
      <c r="B1753">
        <v>33960</v>
      </c>
      <c r="C1753" t="s">
        <v>7866</v>
      </c>
      <c r="D1753" t="s">
        <v>6168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7867</v>
      </c>
      <c r="B1755">
        <v>3689</v>
      </c>
      <c r="C1755" t="s">
        <v>7868</v>
      </c>
      <c r="D1755" t="s">
        <v>6168</v>
      </c>
    </row>
    <row r="1756" spans="1:4">
      <c r="A1756" t="s">
        <v>7869</v>
      </c>
      <c r="B1756">
        <v>3687</v>
      </c>
      <c r="C1756" t="s">
        <v>7870</v>
      </c>
      <c r="D1756" t="s">
        <v>6168</v>
      </c>
    </row>
    <row r="1757" spans="1:4">
      <c r="A1757" t="s">
        <v>7871</v>
      </c>
      <c r="B1757">
        <v>3688</v>
      </c>
      <c r="C1757" t="s">
        <v>7872</v>
      </c>
      <c r="D1757" t="s">
        <v>6168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7873</v>
      </c>
      <c r="B1759">
        <v>42946</v>
      </c>
      <c r="C1759" t="s">
        <v>4950</v>
      </c>
      <c r="D1759" t="s">
        <v>6168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7874</v>
      </c>
      <c r="B1761">
        <v>40570</v>
      </c>
      <c r="C1761" t="s">
        <v>2208</v>
      </c>
      <c r="D1761" t="s">
        <v>6314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7875</v>
      </c>
      <c r="B1763">
        <v>23228</v>
      </c>
      <c r="C1763" t="s">
        <v>3329</v>
      </c>
      <c r="D1763" t="s">
        <v>6605</v>
      </c>
    </row>
    <row r="1764" spans="1:4">
      <c r="A1764" t="s">
        <v>7876</v>
      </c>
      <c r="B1764">
        <v>23642</v>
      </c>
      <c r="C1764" t="s">
        <v>7877</v>
      </c>
      <c r="D1764" t="s">
        <v>6241</v>
      </c>
    </row>
    <row r="1765" spans="1:4">
      <c r="A1765" t="s">
        <v>7878</v>
      </c>
      <c r="B1765">
        <v>30215</v>
      </c>
      <c r="C1765" t="s">
        <v>7877</v>
      </c>
      <c r="D1765" t="s">
        <v>6241</v>
      </c>
    </row>
    <row r="1766" spans="1:4">
      <c r="A1766" t="s">
        <v>17057</v>
      </c>
      <c r="B1766">
        <v>44309</v>
      </c>
      <c r="C1766" t="s">
        <v>3073</v>
      </c>
      <c r="D1766" t="s">
        <v>123</v>
      </c>
    </row>
    <row r="1767" spans="1:4">
      <c r="A1767" t="s">
        <v>17119</v>
      </c>
      <c r="B1767">
        <v>44378</v>
      </c>
      <c r="C1767" t="s">
        <v>17120</v>
      </c>
      <c r="D1767" t="s">
        <v>6168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7879</v>
      </c>
      <c r="B1770">
        <v>29317</v>
      </c>
      <c r="C1770" t="s">
        <v>7880</v>
      </c>
      <c r="D1770" t="s">
        <v>6168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7881</v>
      </c>
      <c r="B1772">
        <v>4050</v>
      </c>
      <c r="C1772" t="s">
        <v>6190</v>
      </c>
      <c r="D1772" t="s">
        <v>6168</v>
      </c>
    </row>
    <row r="1773" spans="1:4">
      <c r="A1773" t="s">
        <v>7882</v>
      </c>
      <c r="B1773">
        <v>30206</v>
      </c>
      <c r="C1773" t="s">
        <v>7883</v>
      </c>
      <c r="D1773" t="s">
        <v>6168</v>
      </c>
    </row>
    <row r="1774" spans="1:4">
      <c r="A1774" t="s">
        <v>7884</v>
      </c>
      <c r="B1774">
        <v>4051</v>
      </c>
      <c r="C1774" t="s">
        <v>7885</v>
      </c>
      <c r="D1774" t="s">
        <v>6168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7886</v>
      </c>
      <c r="B1776">
        <v>33897</v>
      </c>
      <c r="C1776" t="s">
        <v>1073</v>
      </c>
      <c r="D1776" t="s">
        <v>6267</v>
      </c>
    </row>
    <row r="1777" spans="1:4">
      <c r="A1777" t="s">
        <v>7887</v>
      </c>
      <c r="B1777">
        <v>23340</v>
      </c>
      <c r="C1777" t="s">
        <v>1073</v>
      </c>
      <c r="D1777" t="s">
        <v>6314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7888</v>
      </c>
      <c r="B1780">
        <v>2713</v>
      </c>
      <c r="C1780" t="s">
        <v>7889</v>
      </c>
      <c r="D1780" t="s">
        <v>6168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7890</v>
      </c>
      <c r="B1783">
        <v>39837</v>
      </c>
      <c r="C1783" t="s">
        <v>1089</v>
      </c>
      <c r="D1783" t="s">
        <v>6314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7891</v>
      </c>
      <c r="B1785">
        <v>21724</v>
      </c>
      <c r="C1785" t="s">
        <v>7437</v>
      </c>
      <c r="D1785" t="s">
        <v>6168</v>
      </c>
    </row>
    <row r="1786" spans="1:4">
      <c r="A1786" t="s">
        <v>7892</v>
      </c>
      <c r="B1786">
        <v>21725</v>
      </c>
      <c r="C1786" t="s">
        <v>7893</v>
      </c>
      <c r="D1786" t="s">
        <v>6168</v>
      </c>
    </row>
    <row r="1787" spans="1:4">
      <c r="A1787" t="s">
        <v>7894</v>
      </c>
      <c r="B1787">
        <v>21726</v>
      </c>
      <c r="C1787" t="s">
        <v>7895</v>
      </c>
      <c r="D1787" t="s">
        <v>6168</v>
      </c>
    </row>
    <row r="1788" spans="1:4">
      <c r="A1788" t="s">
        <v>7896</v>
      </c>
      <c r="B1788">
        <v>21727</v>
      </c>
      <c r="C1788" t="s">
        <v>3447</v>
      </c>
      <c r="D1788" t="s">
        <v>6168</v>
      </c>
    </row>
    <row r="1789" spans="1:4">
      <c r="A1789" t="s">
        <v>7897</v>
      </c>
      <c r="B1789">
        <v>21728</v>
      </c>
      <c r="C1789" t="s">
        <v>7898</v>
      </c>
      <c r="D1789" t="s">
        <v>6168</v>
      </c>
    </row>
    <row r="1790" spans="1:4">
      <c r="A1790" t="s">
        <v>7899</v>
      </c>
      <c r="B1790">
        <v>31276</v>
      </c>
      <c r="C1790" t="s">
        <v>7900</v>
      </c>
      <c r="D1790" t="s">
        <v>6168</v>
      </c>
    </row>
    <row r="1791" spans="1:4">
      <c r="A1791" t="s">
        <v>7901</v>
      </c>
      <c r="B1791">
        <v>21729</v>
      </c>
      <c r="C1791" t="s">
        <v>7902</v>
      </c>
      <c r="D1791" t="s">
        <v>6168</v>
      </c>
    </row>
    <row r="1792" spans="1:4">
      <c r="A1792" t="s">
        <v>7903</v>
      </c>
      <c r="B1792">
        <v>21730</v>
      </c>
      <c r="C1792" t="s">
        <v>7904</v>
      </c>
      <c r="D1792" t="s">
        <v>6168</v>
      </c>
    </row>
    <row r="1793" spans="1:4">
      <c r="A1793" t="s">
        <v>7905</v>
      </c>
      <c r="B1793">
        <v>21731</v>
      </c>
      <c r="C1793" t="s">
        <v>7893</v>
      </c>
      <c r="D1793" t="s">
        <v>6168</v>
      </c>
    </row>
    <row r="1794" spans="1:4">
      <c r="A1794" t="s">
        <v>7906</v>
      </c>
      <c r="B1794">
        <v>21732</v>
      </c>
      <c r="C1794" t="s">
        <v>3447</v>
      </c>
      <c r="D1794" t="s">
        <v>6168</v>
      </c>
    </row>
    <row r="1795" spans="1:4">
      <c r="A1795" t="s">
        <v>7907</v>
      </c>
      <c r="B1795">
        <v>21733</v>
      </c>
      <c r="C1795" t="s">
        <v>7893</v>
      </c>
      <c r="D1795" t="s">
        <v>6168</v>
      </c>
    </row>
    <row r="1796" spans="1:4">
      <c r="A1796" t="s">
        <v>7908</v>
      </c>
      <c r="B1796">
        <v>21734</v>
      </c>
      <c r="C1796" t="s">
        <v>7893</v>
      </c>
      <c r="D1796" t="s">
        <v>6168</v>
      </c>
    </row>
    <row r="1797" spans="1:4">
      <c r="A1797" t="s">
        <v>7909</v>
      </c>
      <c r="B1797">
        <v>24547</v>
      </c>
      <c r="C1797" t="s">
        <v>4950</v>
      </c>
      <c r="D1797" t="s">
        <v>6168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7910</v>
      </c>
      <c r="B1799">
        <v>23189</v>
      </c>
      <c r="C1799" t="s">
        <v>7911</v>
      </c>
      <c r="D1799" t="s">
        <v>6267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7912</v>
      </c>
      <c r="B1801">
        <v>31501</v>
      </c>
      <c r="C1801" t="s">
        <v>7913</v>
      </c>
      <c r="D1801" t="s">
        <v>6168</v>
      </c>
    </row>
    <row r="1802" spans="1:4">
      <c r="A1802" t="s">
        <v>7914</v>
      </c>
      <c r="B1802">
        <v>35279</v>
      </c>
      <c r="C1802" t="s">
        <v>7223</v>
      </c>
      <c r="D1802" t="s">
        <v>6168</v>
      </c>
    </row>
    <row r="1803" spans="1:4">
      <c r="A1803" t="s">
        <v>17567</v>
      </c>
      <c r="B1803">
        <v>46837</v>
      </c>
      <c r="C1803" t="s">
        <v>7223</v>
      </c>
      <c r="D1803" t="s">
        <v>6168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7915</v>
      </c>
      <c r="B1807">
        <v>4578</v>
      </c>
      <c r="C1807" t="s">
        <v>4950</v>
      </c>
      <c r="D1807" t="s">
        <v>6168</v>
      </c>
    </row>
    <row r="1808" spans="1:4">
      <c r="A1808" t="s">
        <v>7916</v>
      </c>
      <c r="B1808">
        <v>24920</v>
      </c>
      <c r="C1808" t="s">
        <v>7273</v>
      </c>
      <c r="D1808" t="s">
        <v>6168</v>
      </c>
    </row>
    <row r="1809" spans="1:4">
      <c r="A1809" t="s">
        <v>16931</v>
      </c>
      <c r="B1809">
        <v>43997</v>
      </c>
      <c r="C1809" t="s">
        <v>6924</v>
      </c>
      <c r="D1809" t="s">
        <v>6168</v>
      </c>
    </row>
    <row r="1810" spans="1:4">
      <c r="A1810" t="s">
        <v>7917</v>
      </c>
      <c r="B1810">
        <v>29447</v>
      </c>
      <c r="C1810" t="s">
        <v>6924</v>
      </c>
      <c r="D1810" t="s">
        <v>6168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7918</v>
      </c>
      <c r="B1812">
        <v>25451</v>
      </c>
      <c r="C1812" t="s">
        <v>6194</v>
      </c>
      <c r="D1812" t="s">
        <v>6168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7919</v>
      </c>
      <c r="B1815">
        <v>25306</v>
      </c>
      <c r="C1815" t="s">
        <v>7920</v>
      </c>
      <c r="D1815" t="s">
        <v>6168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7921</v>
      </c>
      <c r="B1818">
        <v>3691</v>
      </c>
      <c r="C1818" t="s">
        <v>7922</v>
      </c>
      <c r="D1818" t="s">
        <v>6168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7923</v>
      </c>
      <c r="B1820">
        <v>21736</v>
      </c>
      <c r="C1820" t="s">
        <v>2249</v>
      </c>
      <c r="D1820" t="s">
        <v>6314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7924</v>
      </c>
      <c r="B1822">
        <v>2595</v>
      </c>
      <c r="D1822" t="s">
        <v>6168</v>
      </c>
    </row>
    <row r="1823" spans="1:4">
      <c r="A1823" t="s">
        <v>7925</v>
      </c>
      <c r="B1823">
        <v>2596</v>
      </c>
      <c r="C1823" t="s">
        <v>7926</v>
      </c>
      <c r="D1823" t="s">
        <v>6449</v>
      </c>
    </row>
    <row r="1824" spans="1:4">
      <c r="A1824" t="s">
        <v>7927</v>
      </c>
      <c r="B1824">
        <v>2597</v>
      </c>
      <c r="C1824" t="s">
        <v>7928</v>
      </c>
      <c r="D1824" t="s">
        <v>6449</v>
      </c>
    </row>
    <row r="1825" spans="1:4">
      <c r="A1825" t="s">
        <v>7929</v>
      </c>
      <c r="B1825">
        <v>651</v>
      </c>
      <c r="C1825" t="s">
        <v>7930</v>
      </c>
      <c r="D1825" t="s">
        <v>6168</v>
      </c>
    </row>
    <row r="1826" spans="1:4">
      <c r="A1826" t="s">
        <v>7931</v>
      </c>
      <c r="B1826">
        <v>2598</v>
      </c>
      <c r="C1826" t="s">
        <v>7930</v>
      </c>
      <c r="D1826" t="s">
        <v>6449</v>
      </c>
    </row>
    <row r="1827" spans="1:4">
      <c r="A1827" t="s">
        <v>7932</v>
      </c>
      <c r="B1827">
        <v>2599</v>
      </c>
      <c r="C1827" t="s">
        <v>7933</v>
      </c>
      <c r="D1827" t="s">
        <v>6449</v>
      </c>
    </row>
    <row r="1828" spans="1:4">
      <c r="A1828" t="s">
        <v>7934</v>
      </c>
      <c r="B1828">
        <v>652</v>
      </c>
      <c r="C1828" t="s">
        <v>4950</v>
      </c>
      <c r="D1828" t="s">
        <v>6168</v>
      </c>
    </row>
    <row r="1829" spans="1:4">
      <c r="A1829" t="s">
        <v>7935</v>
      </c>
      <c r="B1829">
        <v>2601</v>
      </c>
      <c r="C1829" t="s">
        <v>7936</v>
      </c>
      <c r="D1829" t="s">
        <v>6168</v>
      </c>
    </row>
    <row r="1830" spans="1:4">
      <c r="A1830" t="s">
        <v>7937</v>
      </c>
      <c r="B1830">
        <v>2600</v>
      </c>
      <c r="C1830" t="s">
        <v>4950</v>
      </c>
      <c r="D1830" t="s">
        <v>6168</v>
      </c>
    </row>
    <row r="1831" spans="1:4">
      <c r="A1831" t="s">
        <v>17249</v>
      </c>
      <c r="B1831">
        <v>45335</v>
      </c>
      <c r="C1831" t="s">
        <v>17250</v>
      </c>
      <c r="D1831" t="s">
        <v>134</v>
      </c>
    </row>
    <row r="1832" spans="1:4">
      <c r="A1832" t="s">
        <v>7938</v>
      </c>
      <c r="B1832">
        <v>4506</v>
      </c>
      <c r="C1832" t="s">
        <v>7939</v>
      </c>
      <c r="D1832" t="s">
        <v>6230</v>
      </c>
    </row>
    <row r="1833" spans="1:4">
      <c r="A1833" t="s">
        <v>7940</v>
      </c>
      <c r="B1833">
        <v>27353</v>
      </c>
      <c r="D1833" t="s">
        <v>6245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7941</v>
      </c>
      <c r="B1835">
        <v>21738</v>
      </c>
      <c r="C1835" t="s">
        <v>7942</v>
      </c>
      <c r="D1835" t="s">
        <v>6168</v>
      </c>
    </row>
    <row r="1836" spans="1:4">
      <c r="A1836" t="s">
        <v>7943</v>
      </c>
      <c r="B1836">
        <v>23478</v>
      </c>
      <c r="C1836" t="s">
        <v>4950</v>
      </c>
      <c r="D1836" t="s">
        <v>6168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7944</v>
      </c>
      <c r="B1838">
        <v>21740</v>
      </c>
      <c r="C1838" t="s">
        <v>2310</v>
      </c>
      <c r="D1838" t="s">
        <v>6314</v>
      </c>
    </row>
    <row r="1839" spans="1:4">
      <c r="A1839" t="s">
        <v>7945</v>
      </c>
      <c r="B1839">
        <v>24550</v>
      </c>
      <c r="C1839" t="s">
        <v>7946</v>
      </c>
      <c r="D1839" t="s">
        <v>6245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7947</v>
      </c>
      <c r="B1841">
        <v>43133</v>
      </c>
      <c r="C1841" t="s">
        <v>4990</v>
      </c>
      <c r="D1841" t="s">
        <v>6267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7948</v>
      </c>
      <c r="B1843">
        <v>41796</v>
      </c>
      <c r="C1843" t="s">
        <v>7949</v>
      </c>
      <c r="D1843" t="s">
        <v>6168</v>
      </c>
    </row>
    <row r="1844" spans="1:4">
      <c r="A1844" t="s">
        <v>7950</v>
      </c>
      <c r="B1844">
        <v>41797</v>
      </c>
      <c r="C1844" t="s">
        <v>7951</v>
      </c>
      <c r="D1844" t="s">
        <v>6168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7952</v>
      </c>
      <c r="B1846">
        <v>21742</v>
      </c>
      <c r="C1846" t="s">
        <v>7953</v>
      </c>
      <c r="D1846" t="s">
        <v>6168</v>
      </c>
    </row>
    <row r="1847" spans="1:4">
      <c r="A1847" t="s">
        <v>7954</v>
      </c>
      <c r="B1847">
        <v>21743</v>
      </c>
      <c r="C1847" t="s">
        <v>7955</v>
      </c>
      <c r="D1847" t="s">
        <v>6168</v>
      </c>
    </row>
    <row r="1848" spans="1:4">
      <c r="A1848" t="s">
        <v>7956</v>
      </c>
      <c r="B1848">
        <v>21744</v>
      </c>
      <c r="C1848" t="s">
        <v>7957</v>
      </c>
      <c r="D1848" t="s">
        <v>6168</v>
      </c>
    </row>
    <row r="1849" spans="1:4">
      <c r="A1849" t="s">
        <v>7958</v>
      </c>
      <c r="B1849">
        <v>21745</v>
      </c>
      <c r="C1849" t="s">
        <v>7959</v>
      </c>
      <c r="D1849" t="s">
        <v>6168</v>
      </c>
    </row>
    <row r="1850" spans="1:4">
      <c r="A1850" t="s">
        <v>7960</v>
      </c>
      <c r="B1850">
        <v>21746</v>
      </c>
      <c r="C1850" t="s">
        <v>7961</v>
      </c>
      <c r="D1850" t="s">
        <v>6168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7962</v>
      </c>
      <c r="B1852">
        <v>25768</v>
      </c>
      <c r="C1852" t="s">
        <v>7963</v>
      </c>
      <c r="D1852" t="s">
        <v>6168</v>
      </c>
    </row>
    <row r="1853" spans="1:4">
      <c r="A1853" t="s">
        <v>7964</v>
      </c>
      <c r="B1853">
        <v>41646</v>
      </c>
      <c r="C1853" t="s">
        <v>7965</v>
      </c>
      <c r="D1853" t="s">
        <v>6168</v>
      </c>
    </row>
    <row r="1854" spans="1:4">
      <c r="A1854" t="s">
        <v>7966</v>
      </c>
      <c r="B1854">
        <v>25767</v>
      </c>
      <c r="C1854" t="s">
        <v>7967</v>
      </c>
      <c r="D1854" t="s">
        <v>6168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7968</v>
      </c>
      <c r="B1859">
        <v>21747</v>
      </c>
      <c r="D1859" t="s">
        <v>6267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7969</v>
      </c>
      <c r="B1861">
        <v>21749</v>
      </c>
      <c r="C1861" t="s">
        <v>7970</v>
      </c>
      <c r="D1861" t="s">
        <v>6168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7971</v>
      </c>
      <c r="B1864">
        <v>39462</v>
      </c>
      <c r="C1864" t="s">
        <v>7972</v>
      </c>
      <c r="D1864" t="s">
        <v>6267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7973</v>
      </c>
      <c r="B1866">
        <v>30216</v>
      </c>
      <c r="C1866" t="s">
        <v>7974</v>
      </c>
      <c r="D1866" t="s">
        <v>6168</v>
      </c>
    </row>
    <row r="1867" spans="1:4">
      <c r="A1867" t="s">
        <v>7975</v>
      </c>
      <c r="B1867">
        <v>30217</v>
      </c>
      <c r="C1867" t="s">
        <v>3079</v>
      </c>
      <c r="D1867" t="s">
        <v>6168</v>
      </c>
    </row>
    <row r="1868" spans="1:4">
      <c r="A1868" t="s">
        <v>7976</v>
      </c>
      <c r="B1868">
        <v>26400</v>
      </c>
      <c r="C1868" t="s">
        <v>7977</v>
      </c>
      <c r="D1868" t="s">
        <v>6168</v>
      </c>
    </row>
    <row r="1869" spans="1:4">
      <c r="A1869" t="s">
        <v>7978</v>
      </c>
      <c r="B1869">
        <v>35108</v>
      </c>
      <c r="C1869" t="s">
        <v>7979</v>
      </c>
      <c r="D1869" t="s">
        <v>6168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7980</v>
      </c>
      <c r="B1871">
        <v>21751</v>
      </c>
      <c r="C1871" t="s">
        <v>7981</v>
      </c>
      <c r="D1871" t="s">
        <v>6168</v>
      </c>
    </row>
    <row r="1872" spans="1:4">
      <c r="A1872" t="s">
        <v>7982</v>
      </c>
      <c r="B1872">
        <v>4235</v>
      </c>
      <c r="C1872" t="s">
        <v>6299</v>
      </c>
      <c r="D1872" t="s">
        <v>6241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7983</v>
      </c>
      <c r="B1874">
        <v>27395</v>
      </c>
      <c r="C1874" t="s">
        <v>16696</v>
      </c>
      <c r="D1874" t="s">
        <v>6168</v>
      </c>
    </row>
    <row r="1875" spans="1:4">
      <c r="A1875" t="s">
        <v>7984</v>
      </c>
      <c r="B1875">
        <v>27397</v>
      </c>
      <c r="C1875" t="s">
        <v>7985</v>
      </c>
      <c r="D1875" t="s">
        <v>6168</v>
      </c>
    </row>
    <row r="1876" spans="1:4">
      <c r="A1876" t="s">
        <v>7986</v>
      </c>
      <c r="B1876">
        <v>21753</v>
      </c>
      <c r="C1876" t="s">
        <v>7987</v>
      </c>
      <c r="D1876" t="s">
        <v>6168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7988</v>
      </c>
      <c r="B1878">
        <v>21755</v>
      </c>
      <c r="C1878" t="s">
        <v>481</v>
      </c>
      <c r="D1878" t="s">
        <v>6267</v>
      </c>
    </row>
    <row r="1879" spans="1:4">
      <c r="A1879" t="s">
        <v>7989</v>
      </c>
      <c r="B1879">
        <v>21756</v>
      </c>
      <c r="C1879" t="s">
        <v>481</v>
      </c>
      <c r="D1879" t="s">
        <v>6314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7990</v>
      </c>
      <c r="B1881">
        <v>43172</v>
      </c>
      <c r="D1881" t="s">
        <v>6248</v>
      </c>
    </row>
    <row r="1882" spans="1:4">
      <c r="A1882" t="s">
        <v>7991</v>
      </c>
      <c r="B1882">
        <v>25811</v>
      </c>
      <c r="C1882" t="s">
        <v>7992</v>
      </c>
      <c r="D1882" t="s">
        <v>6168</v>
      </c>
    </row>
    <row r="1883" spans="1:4">
      <c r="A1883" t="s">
        <v>7993</v>
      </c>
      <c r="B1883">
        <v>3967</v>
      </c>
      <c r="C1883" t="s">
        <v>7994</v>
      </c>
      <c r="D1883" t="s">
        <v>6168</v>
      </c>
    </row>
    <row r="1884" spans="1:4">
      <c r="A1884" t="s">
        <v>7995</v>
      </c>
      <c r="B1884">
        <v>25812</v>
      </c>
      <c r="C1884" t="s">
        <v>1273</v>
      </c>
      <c r="D1884" t="s">
        <v>6168</v>
      </c>
    </row>
    <row r="1885" spans="1:4">
      <c r="A1885" t="s">
        <v>7996</v>
      </c>
      <c r="B1885">
        <v>3960</v>
      </c>
      <c r="C1885" t="s">
        <v>1273</v>
      </c>
      <c r="D1885" t="s">
        <v>6168</v>
      </c>
    </row>
    <row r="1886" spans="1:4">
      <c r="A1886" t="s">
        <v>7997</v>
      </c>
      <c r="B1886">
        <v>25769</v>
      </c>
      <c r="C1886" t="s">
        <v>6226</v>
      </c>
      <c r="D1886" t="s">
        <v>6168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7998</v>
      </c>
      <c r="B1888">
        <v>31428</v>
      </c>
      <c r="D1888" t="s">
        <v>6168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7999</v>
      </c>
      <c r="B1890">
        <v>24552</v>
      </c>
      <c r="C1890" t="s">
        <v>444</v>
      </c>
      <c r="D1890" t="s">
        <v>6314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8000</v>
      </c>
      <c r="B1892">
        <v>3698</v>
      </c>
      <c r="C1892" t="s">
        <v>4463</v>
      </c>
      <c r="D1892" t="s">
        <v>6168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8001</v>
      </c>
      <c r="B1895">
        <v>39472</v>
      </c>
      <c r="C1895" t="s">
        <v>2494</v>
      </c>
      <c r="D1895" t="s">
        <v>6267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8002</v>
      </c>
      <c r="B1898">
        <v>23277</v>
      </c>
      <c r="C1898" t="s">
        <v>8003</v>
      </c>
      <c r="D1898" t="s">
        <v>6230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8004</v>
      </c>
      <c r="B1900">
        <v>24553</v>
      </c>
      <c r="C1900" t="s">
        <v>8005</v>
      </c>
      <c r="D1900" t="s">
        <v>6168</v>
      </c>
    </row>
    <row r="1901" spans="1:4">
      <c r="A1901" t="s">
        <v>8006</v>
      </c>
      <c r="B1901">
        <v>24554</v>
      </c>
      <c r="C1901" t="s">
        <v>8007</v>
      </c>
      <c r="D1901" t="s">
        <v>6168</v>
      </c>
    </row>
    <row r="1902" spans="1:4">
      <c r="A1902" t="s">
        <v>8008</v>
      </c>
      <c r="B1902">
        <v>38769</v>
      </c>
      <c r="C1902" t="s">
        <v>8009</v>
      </c>
      <c r="D1902" t="s">
        <v>6168</v>
      </c>
    </row>
    <row r="1903" spans="1:4">
      <c r="A1903" t="s">
        <v>8010</v>
      </c>
      <c r="B1903">
        <v>38770</v>
      </c>
      <c r="C1903" t="s">
        <v>8011</v>
      </c>
      <c r="D1903" t="s">
        <v>6168</v>
      </c>
    </row>
    <row r="1904" spans="1:4">
      <c r="A1904" t="s">
        <v>8012</v>
      </c>
      <c r="B1904">
        <v>24555</v>
      </c>
      <c r="C1904" t="s">
        <v>8013</v>
      </c>
      <c r="D1904" t="s">
        <v>6168</v>
      </c>
    </row>
    <row r="1905" spans="1:4">
      <c r="A1905" t="s">
        <v>8014</v>
      </c>
      <c r="B1905">
        <v>33899</v>
      </c>
      <c r="C1905" t="s">
        <v>8015</v>
      </c>
      <c r="D1905" t="s">
        <v>6168</v>
      </c>
    </row>
    <row r="1906" spans="1:4">
      <c r="A1906" t="s">
        <v>8016</v>
      </c>
      <c r="B1906">
        <v>23240</v>
      </c>
      <c r="D1906" t="s">
        <v>6245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8017</v>
      </c>
      <c r="B1909">
        <v>34118</v>
      </c>
      <c r="C1909" t="s">
        <v>4253</v>
      </c>
      <c r="D1909" t="s">
        <v>6168</v>
      </c>
    </row>
    <row r="1910" spans="1:4">
      <c r="A1910" t="s">
        <v>8018</v>
      </c>
      <c r="B1910">
        <v>31828</v>
      </c>
      <c r="C1910" t="s">
        <v>7755</v>
      </c>
      <c r="D1910" t="s">
        <v>6168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8019</v>
      </c>
      <c r="B1912">
        <v>31150</v>
      </c>
      <c r="C1912" t="s">
        <v>3315</v>
      </c>
      <c r="D1912" t="s">
        <v>6168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8020</v>
      </c>
      <c r="B1915">
        <v>117</v>
      </c>
      <c r="C1915" t="s">
        <v>8021</v>
      </c>
      <c r="D1915" t="s">
        <v>6168</v>
      </c>
    </row>
    <row r="1916" spans="1:4">
      <c r="A1916" t="s">
        <v>8022</v>
      </c>
      <c r="B1916">
        <v>118</v>
      </c>
      <c r="C1916" t="s">
        <v>8023</v>
      </c>
      <c r="D1916" t="s">
        <v>6168</v>
      </c>
    </row>
    <row r="1917" spans="1:4">
      <c r="A1917" t="s">
        <v>8024</v>
      </c>
      <c r="B1917">
        <v>119</v>
      </c>
      <c r="C1917" t="s">
        <v>1503</v>
      </c>
      <c r="D1917" t="s">
        <v>6168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8025</v>
      </c>
      <c r="B1920">
        <v>123</v>
      </c>
      <c r="C1920" t="s">
        <v>8026</v>
      </c>
      <c r="D1920" t="s">
        <v>6168</v>
      </c>
    </row>
    <row r="1921" spans="1:4">
      <c r="A1921" t="s">
        <v>8027</v>
      </c>
      <c r="B1921">
        <v>124</v>
      </c>
      <c r="C1921" t="s">
        <v>8028</v>
      </c>
      <c r="D1921" t="s">
        <v>6168</v>
      </c>
    </row>
    <row r="1922" spans="1:4">
      <c r="A1922" t="s">
        <v>8029</v>
      </c>
      <c r="B1922">
        <v>125</v>
      </c>
      <c r="C1922" t="s">
        <v>8028</v>
      </c>
      <c r="D1922" t="s">
        <v>6168</v>
      </c>
    </row>
    <row r="1923" spans="1:4">
      <c r="A1923" t="s">
        <v>8030</v>
      </c>
      <c r="B1923">
        <v>126</v>
      </c>
      <c r="C1923" t="s">
        <v>1595</v>
      </c>
      <c r="D1923" t="s">
        <v>6168</v>
      </c>
    </row>
    <row r="1924" spans="1:4">
      <c r="A1924" t="s">
        <v>8031</v>
      </c>
      <c r="B1924">
        <v>2261</v>
      </c>
      <c r="C1924" t="s">
        <v>8032</v>
      </c>
      <c r="D1924" t="s">
        <v>6168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8033</v>
      </c>
      <c r="B1926">
        <v>121</v>
      </c>
      <c r="C1926" t="s">
        <v>8034</v>
      </c>
      <c r="D1926" t="s">
        <v>6168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8035</v>
      </c>
      <c r="B1928">
        <v>22876</v>
      </c>
      <c r="C1928" t="s">
        <v>148</v>
      </c>
      <c r="D1928" t="s">
        <v>6168</v>
      </c>
    </row>
    <row r="1929" spans="1:4">
      <c r="A1929" t="s">
        <v>8036</v>
      </c>
      <c r="B1929">
        <v>30218</v>
      </c>
      <c r="C1929" t="s">
        <v>4193</v>
      </c>
      <c r="D1929" t="s">
        <v>6168</v>
      </c>
    </row>
    <row r="1930" spans="1:4">
      <c r="A1930" t="s">
        <v>8037</v>
      </c>
      <c r="B1930">
        <v>25452</v>
      </c>
      <c r="C1930" t="s">
        <v>8038</v>
      </c>
      <c r="D1930" t="s">
        <v>6168</v>
      </c>
    </row>
    <row r="1931" spans="1:4">
      <c r="A1931" t="s">
        <v>8039</v>
      </c>
      <c r="B1931">
        <v>35063</v>
      </c>
      <c r="C1931" t="s">
        <v>8040</v>
      </c>
      <c r="D1931" t="s">
        <v>6168</v>
      </c>
    </row>
    <row r="1932" spans="1:4">
      <c r="A1932" t="s">
        <v>8041</v>
      </c>
      <c r="B1932">
        <v>22877</v>
      </c>
      <c r="C1932" t="s">
        <v>2374</v>
      </c>
      <c r="D1932" t="s">
        <v>6168</v>
      </c>
    </row>
    <row r="1933" spans="1:4">
      <c r="A1933" t="s">
        <v>8042</v>
      </c>
      <c r="B1933">
        <v>22878</v>
      </c>
      <c r="C1933" t="s">
        <v>148</v>
      </c>
      <c r="D1933" t="s">
        <v>6168</v>
      </c>
    </row>
    <row r="1934" spans="1:4">
      <c r="A1934" t="s">
        <v>8043</v>
      </c>
      <c r="B1934">
        <v>35064</v>
      </c>
      <c r="C1934" t="s">
        <v>4193</v>
      </c>
      <c r="D1934" t="s">
        <v>6168</v>
      </c>
    </row>
    <row r="1935" spans="1:4">
      <c r="A1935" t="s">
        <v>8044</v>
      </c>
      <c r="B1935">
        <v>41121</v>
      </c>
      <c r="C1935" t="s">
        <v>4193</v>
      </c>
      <c r="D1935" t="s">
        <v>6168</v>
      </c>
    </row>
    <row r="1936" spans="1:4">
      <c r="A1936" t="s">
        <v>8045</v>
      </c>
      <c r="B1936">
        <v>23565</v>
      </c>
      <c r="C1936" t="s">
        <v>148</v>
      </c>
      <c r="D1936" t="s">
        <v>6230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8046</v>
      </c>
      <c r="B1938">
        <v>4068</v>
      </c>
      <c r="C1938" t="s">
        <v>148</v>
      </c>
      <c r="D1938" t="s">
        <v>6230</v>
      </c>
    </row>
    <row r="1939" spans="1:4">
      <c r="A1939" t="s">
        <v>8047</v>
      </c>
      <c r="B1939">
        <v>39789</v>
      </c>
      <c r="C1939" t="s">
        <v>8048</v>
      </c>
      <c r="D1939" t="s">
        <v>8049</v>
      </c>
    </row>
    <row r="1940" spans="1:4">
      <c r="A1940" t="s">
        <v>8050</v>
      </c>
      <c r="B1940">
        <v>39562</v>
      </c>
      <c r="C1940" t="s">
        <v>148</v>
      </c>
      <c r="D1940" t="s">
        <v>6267</v>
      </c>
    </row>
    <row r="1941" spans="1:4">
      <c r="A1941" t="s">
        <v>8051</v>
      </c>
      <c r="B1941">
        <v>23644</v>
      </c>
      <c r="C1941" t="s">
        <v>148</v>
      </c>
      <c r="D1941" t="s">
        <v>6314</v>
      </c>
    </row>
    <row r="1942" spans="1:4">
      <c r="A1942" t="s">
        <v>17058</v>
      </c>
      <c r="B1942">
        <v>44310</v>
      </c>
      <c r="C1942" t="s">
        <v>17059</v>
      </c>
      <c r="D1942" t="s">
        <v>134</v>
      </c>
    </row>
    <row r="1943" spans="1:4">
      <c r="A1943" t="s">
        <v>16984</v>
      </c>
      <c r="B1943">
        <v>44049</v>
      </c>
      <c r="D1943" t="s">
        <v>6245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8052</v>
      </c>
      <c r="B1945">
        <v>25763</v>
      </c>
      <c r="C1945" t="s">
        <v>6558</v>
      </c>
      <c r="D1945" t="s">
        <v>6168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8053</v>
      </c>
      <c r="B1947">
        <v>21758</v>
      </c>
      <c r="C1947" t="s">
        <v>483</v>
      </c>
      <c r="D1947" t="s">
        <v>6314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8054</v>
      </c>
      <c r="B1949">
        <v>21760</v>
      </c>
      <c r="C1949" t="s">
        <v>6558</v>
      </c>
      <c r="D1949" t="s">
        <v>6168</v>
      </c>
    </row>
    <row r="1950" spans="1:4">
      <c r="A1950" t="s">
        <v>8055</v>
      </c>
      <c r="B1950">
        <v>21761</v>
      </c>
      <c r="C1950" t="s">
        <v>4950</v>
      </c>
      <c r="D1950" t="s">
        <v>6168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8056</v>
      </c>
      <c r="B1952">
        <v>39603</v>
      </c>
      <c r="C1952" t="s">
        <v>2659</v>
      </c>
      <c r="D1952" t="s">
        <v>6267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8057</v>
      </c>
      <c r="B1954">
        <v>22879</v>
      </c>
      <c r="C1954" t="s">
        <v>3986</v>
      </c>
      <c r="D1954" t="s">
        <v>6168</v>
      </c>
    </row>
    <row r="1955" spans="1:4">
      <c r="A1955" t="s">
        <v>8058</v>
      </c>
      <c r="B1955">
        <v>4016</v>
      </c>
      <c r="C1955" t="s">
        <v>4950</v>
      </c>
      <c r="D1955" t="s">
        <v>6168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8059</v>
      </c>
      <c r="B1957">
        <v>39469</v>
      </c>
      <c r="C1957" t="s">
        <v>2310</v>
      </c>
      <c r="D1957" t="s">
        <v>6267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8060</v>
      </c>
      <c r="B1959">
        <v>21762</v>
      </c>
      <c r="C1959" t="s">
        <v>2310</v>
      </c>
      <c r="D1959" t="s">
        <v>6314</v>
      </c>
    </row>
    <row r="1960" spans="1:4">
      <c r="A1960" t="s">
        <v>17140</v>
      </c>
      <c r="B1960">
        <v>44440</v>
      </c>
      <c r="C1960" t="s">
        <v>17141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8061</v>
      </c>
      <c r="B1962">
        <v>30551</v>
      </c>
      <c r="C1962" t="s">
        <v>8062</v>
      </c>
      <c r="D1962" t="s">
        <v>6168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8063</v>
      </c>
      <c r="B1964">
        <v>41648</v>
      </c>
      <c r="C1964" t="s">
        <v>4950</v>
      </c>
      <c r="D1964" t="s">
        <v>6168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8064</v>
      </c>
      <c r="B1966">
        <v>40567</v>
      </c>
      <c r="C1966" t="s">
        <v>776</v>
      </c>
      <c r="D1966" t="s">
        <v>6245</v>
      </c>
    </row>
    <row r="1967" spans="1:4">
      <c r="A1967" t="s">
        <v>8065</v>
      </c>
      <c r="B1967">
        <v>30220</v>
      </c>
      <c r="C1967" t="s">
        <v>8066</v>
      </c>
      <c r="D1967" t="s">
        <v>6314</v>
      </c>
    </row>
    <row r="1968" spans="1:4">
      <c r="A1968" t="s">
        <v>17435</v>
      </c>
      <c r="B1968">
        <v>45724</v>
      </c>
      <c r="C1968" t="s">
        <v>1273</v>
      </c>
      <c r="D1968" t="s">
        <v>123</v>
      </c>
    </row>
    <row r="1969" spans="1:4">
      <c r="A1969" t="s">
        <v>8067</v>
      </c>
      <c r="B1969">
        <v>27270</v>
      </c>
      <c r="C1969" t="s">
        <v>1273</v>
      </c>
      <c r="D1969" t="s">
        <v>6168</v>
      </c>
    </row>
    <row r="1970" spans="1:4">
      <c r="A1970" t="s">
        <v>8068</v>
      </c>
      <c r="B1970">
        <v>27269</v>
      </c>
      <c r="C1970" t="s">
        <v>1273</v>
      </c>
      <c r="D1970" t="s">
        <v>6168</v>
      </c>
    </row>
    <row r="1971" spans="1:4">
      <c r="A1971" t="s">
        <v>8069</v>
      </c>
      <c r="B1971">
        <v>27268</v>
      </c>
      <c r="C1971" t="s">
        <v>2425</v>
      </c>
      <c r="D1971" t="s">
        <v>6168</v>
      </c>
    </row>
    <row r="1972" spans="1:4">
      <c r="A1972" t="s">
        <v>8070</v>
      </c>
      <c r="B1972">
        <v>27274</v>
      </c>
      <c r="C1972" t="s">
        <v>1273</v>
      </c>
      <c r="D1972" t="s">
        <v>6168</v>
      </c>
    </row>
    <row r="1973" spans="1:4">
      <c r="A1973" t="s">
        <v>8071</v>
      </c>
      <c r="B1973">
        <v>3275</v>
      </c>
      <c r="C1973" t="s">
        <v>8072</v>
      </c>
      <c r="D1973" t="s">
        <v>6292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16772</v>
      </c>
      <c r="B1975">
        <v>43338</v>
      </c>
      <c r="C1975" t="s">
        <v>16773</v>
      </c>
      <c r="D1975" t="s">
        <v>6168</v>
      </c>
    </row>
    <row r="1976" spans="1:4">
      <c r="A1976" t="s">
        <v>8073</v>
      </c>
      <c r="B1976">
        <v>3627</v>
      </c>
      <c r="C1976" t="s">
        <v>8074</v>
      </c>
      <c r="D1976" t="s">
        <v>6168</v>
      </c>
    </row>
    <row r="1977" spans="1:4">
      <c r="A1977" t="s">
        <v>8075</v>
      </c>
      <c r="B1977">
        <v>3628</v>
      </c>
      <c r="C1977" t="s">
        <v>8076</v>
      </c>
      <c r="D1977" t="s">
        <v>6168</v>
      </c>
    </row>
    <row r="1978" spans="1:4">
      <c r="A1978" t="s">
        <v>8077</v>
      </c>
      <c r="B1978">
        <v>3286</v>
      </c>
      <c r="C1978" t="s">
        <v>8078</v>
      </c>
      <c r="D1978" t="s">
        <v>6168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8079</v>
      </c>
      <c r="B1980">
        <v>3848</v>
      </c>
      <c r="C1980" t="s">
        <v>8080</v>
      </c>
      <c r="D1980" t="s">
        <v>6168</v>
      </c>
    </row>
    <row r="1981" spans="1:4">
      <c r="A1981" t="s">
        <v>8081</v>
      </c>
      <c r="B1981">
        <v>3849</v>
      </c>
      <c r="C1981" t="s">
        <v>8082</v>
      </c>
      <c r="D1981" t="s">
        <v>6168</v>
      </c>
    </row>
    <row r="1982" spans="1:4">
      <c r="A1982" t="s">
        <v>8083</v>
      </c>
      <c r="B1982">
        <v>25080</v>
      </c>
      <c r="C1982" t="s">
        <v>8084</v>
      </c>
      <c r="D1982" t="s">
        <v>6322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17251</v>
      </c>
      <c r="B1984">
        <v>45336</v>
      </c>
      <c r="C1984" t="s">
        <v>17252</v>
      </c>
      <c r="D1984" t="s">
        <v>123</v>
      </c>
    </row>
    <row r="1985" spans="1:4">
      <c r="A1985" t="s">
        <v>17383</v>
      </c>
      <c r="B1985">
        <v>45478</v>
      </c>
      <c r="C1985" t="s">
        <v>17384</v>
      </c>
      <c r="D1985" t="s">
        <v>6168</v>
      </c>
    </row>
    <row r="1986" spans="1:4">
      <c r="A1986" t="s">
        <v>17436</v>
      </c>
      <c r="B1986">
        <v>45725</v>
      </c>
      <c r="C1986" t="s">
        <v>8838</v>
      </c>
      <c r="D1986" t="s">
        <v>6168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8085</v>
      </c>
      <c r="B1988">
        <v>39716</v>
      </c>
      <c r="C1988" t="s">
        <v>1189</v>
      </c>
      <c r="D1988" t="s">
        <v>6248</v>
      </c>
    </row>
    <row r="1989" spans="1:4">
      <c r="A1989" t="s">
        <v>8086</v>
      </c>
      <c r="B1989">
        <v>30221</v>
      </c>
      <c r="C1989" t="s">
        <v>8087</v>
      </c>
      <c r="D1989" t="s">
        <v>6168</v>
      </c>
    </row>
    <row r="1990" spans="1:4">
      <c r="A1990" t="s">
        <v>8088</v>
      </c>
      <c r="B1990">
        <v>29449</v>
      </c>
      <c r="C1990" t="s">
        <v>8089</v>
      </c>
      <c r="D1990" t="s">
        <v>6168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8090</v>
      </c>
      <c r="B1993">
        <v>41755</v>
      </c>
      <c r="C1993" t="s">
        <v>8091</v>
      </c>
      <c r="D1993" t="s">
        <v>6168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8092</v>
      </c>
      <c r="B1997">
        <v>21764</v>
      </c>
      <c r="C1997" t="s">
        <v>8093</v>
      </c>
      <c r="D1997" t="s">
        <v>6168</v>
      </c>
    </row>
    <row r="1998" spans="1:4">
      <c r="A1998" t="s">
        <v>8094</v>
      </c>
      <c r="B1998">
        <v>21765</v>
      </c>
      <c r="C1998" t="s">
        <v>4950</v>
      </c>
      <c r="D1998" t="s">
        <v>6168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8095</v>
      </c>
      <c r="B2000">
        <v>21767</v>
      </c>
      <c r="C2000" t="s">
        <v>8096</v>
      </c>
      <c r="D2000" t="s">
        <v>6168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8097</v>
      </c>
      <c r="B2002">
        <v>2955</v>
      </c>
      <c r="C2002" t="s">
        <v>4950</v>
      </c>
      <c r="D2002" t="s">
        <v>6168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8098</v>
      </c>
      <c r="B2004">
        <v>20575</v>
      </c>
      <c r="C2004" t="s">
        <v>1587</v>
      </c>
      <c r="D2004" t="s">
        <v>6168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8099</v>
      </c>
      <c r="B2006">
        <v>24557</v>
      </c>
      <c r="C2006" t="s">
        <v>8100</v>
      </c>
      <c r="D2006" t="s">
        <v>6168</v>
      </c>
    </row>
    <row r="2007" spans="1:4">
      <c r="A2007" t="s">
        <v>16804</v>
      </c>
      <c r="B2007">
        <v>43357</v>
      </c>
      <c r="C2007" t="s">
        <v>16803</v>
      </c>
      <c r="D2007" t="s">
        <v>123</v>
      </c>
    </row>
    <row r="2008" spans="1:4">
      <c r="A2008" t="s">
        <v>8101</v>
      </c>
      <c r="B2008">
        <v>34961</v>
      </c>
      <c r="C2008" t="s">
        <v>8102</v>
      </c>
      <c r="D2008" t="s">
        <v>6605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8103</v>
      </c>
      <c r="B2012">
        <v>24560</v>
      </c>
      <c r="C2012" t="s">
        <v>8104</v>
      </c>
      <c r="D2012" t="s">
        <v>6168</v>
      </c>
    </row>
    <row r="2013" spans="1:4">
      <c r="A2013" t="s">
        <v>8105</v>
      </c>
      <c r="B2013">
        <v>24561</v>
      </c>
      <c r="C2013" t="s">
        <v>6985</v>
      </c>
      <c r="D2013" t="s">
        <v>6168</v>
      </c>
    </row>
    <row r="2014" spans="1:4">
      <c r="A2014" t="s">
        <v>8106</v>
      </c>
      <c r="B2014">
        <v>24951</v>
      </c>
      <c r="C2014" t="s">
        <v>8104</v>
      </c>
      <c r="D2014" t="s">
        <v>6168</v>
      </c>
    </row>
    <row r="2015" spans="1:4">
      <c r="A2015" t="s">
        <v>17253</v>
      </c>
      <c r="B2015">
        <v>45337</v>
      </c>
      <c r="D2015" t="s">
        <v>6168</v>
      </c>
    </row>
    <row r="2016" spans="1:4">
      <c r="A2016" t="s">
        <v>8107</v>
      </c>
      <c r="B2016">
        <v>30222</v>
      </c>
      <c r="C2016" t="s">
        <v>8108</v>
      </c>
      <c r="D2016" t="s">
        <v>6168</v>
      </c>
    </row>
    <row r="2017" spans="1:4">
      <c r="A2017" t="s">
        <v>8109</v>
      </c>
      <c r="B2017">
        <v>24952</v>
      </c>
      <c r="C2017" t="s">
        <v>8110</v>
      </c>
      <c r="D2017" t="s">
        <v>6168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8111</v>
      </c>
      <c r="B2019">
        <v>21769</v>
      </c>
      <c r="C2019" t="s">
        <v>8112</v>
      </c>
      <c r="D2019" t="s">
        <v>6168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8113</v>
      </c>
      <c r="B2021">
        <v>32290</v>
      </c>
      <c r="C2021" t="s">
        <v>8114</v>
      </c>
      <c r="D2021" t="s">
        <v>6168</v>
      </c>
    </row>
    <row r="2022" spans="1:4">
      <c r="A2022" t="s">
        <v>8113</v>
      </c>
      <c r="B2022">
        <v>21771</v>
      </c>
      <c r="C2022" t="s">
        <v>8115</v>
      </c>
      <c r="D2022" t="s">
        <v>6168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8116</v>
      </c>
      <c r="B2024">
        <v>21773</v>
      </c>
      <c r="C2024" t="s">
        <v>8117</v>
      </c>
      <c r="D2024" t="s">
        <v>6267</v>
      </c>
    </row>
    <row r="2025" spans="1:4">
      <c r="A2025" t="s">
        <v>8118</v>
      </c>
      <c r="B2025">
        <v>21774</v>
      </c>
      <c r="C2025" t="s">
        <v>487</v>
      </c>
      <c r="D2025" t="s">
        <v>6314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17121</v>
      </c>
      <c r="B2027">
        <v>44380</v>
      </c>
      <c r="C2027" t="s">
        <v>17122</v>
      </c>
      <c r="D2027" t="s">
        <v>123</v>
      </c>
    </row>
    <row r="2028" spans="1:4">
      <c r="A2028" t="s">
        <v>17142</v>
      </c>
      <c r="B2028">
        <v>44442</v>
      </c>
      <c r="C2028" t="s">
        <v>17143</v>
      </c>
      <c r="D2028" t="s">
        <v>6168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8119</v>
      </c>
      <c r="B2030">
        <v>30868</v>
      </c>
      <c r="C2030" t="s">
        <v>4950</v>
      </c>
      <c r="D2030" t="s">
        <v>6168</v>
      </c>
    </row>
    <row r="2031" spans="1:4">
      <c r="A2031" t="s">
        <v>8120</v>
      </c>
      <c r="B2031">
        <v>30867</v>
      </c>
      <c r="C2031" t="s">
        <v>172</v>
      </c>
      <c r="D2031" t="s">
        <v>6168</v>
      </c>
    </row>
    <row r="2032" spans="1:4">
      <c r="A2032" t="s">
        <v>8121</v>
      </c>
      <c r="B2032">
        <v>30866</v>
      </c>
      <c r="C2032" t="s">
        <v>8122</v>
      </c>
      <c r="D2032" t="s">
        <v>6168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8123</v>
      </c>
      <c r="B2034">
        <v>30223</v>
      </c>
      <c r="C2034" t="s">
        <v>5901</v>
      </c>
      <c r="D2034" t="s">
        <v>6314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8124</v>
      </c>
      <c r="B2036">
        <v>29905</v>
      </c>
      <c r="C2036" t="s">
        <v>6546</v>
      </c>
      <c r="D2036" t="s">
        <v>6168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8125</v>
      </c>
      <c r="B2038">
        <v>30902</v>
      </c>
      <c r="C2038" t="s">
        <v>6219</v>
      </c>
      <c r="D2038" t="s">
        <v>6168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8126</v>
      </c>
      <c r="B2041">
        <v>41125</v>
      </c>
      <c r="C2041" t="s">
        <v>8127</v>
      </c>
      <c r="D2041" t="s">
        <v>6168</v>
      </c>
    </row>
    <row r="2042" spans="1:4">
      <c r="A2042" t="s">
        <v>8128</v>
      </c>
      <c r="B2042">
        <v>38838</v>
      </c>
      <c r="C2042" t="s">
        <v>8129</v>
      </c>
      <c r="D2042" t="s">
        <v>6168</v>
      </c>
    </row>
    <row r="2043" spans="1:4">
      <c r="A2043" t="s">
        <v>8130</v>
      </c>
      <c r="B2043">
        <v>29729</v>
      </c>
      <c r="C2043" t="s">
        <v>1176</v>
      </c>
      <c r="D2043" t="s">
        <v>6314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8131</v>
      </c>
      <c r="B2045">
        <v>29808</v>
      </c>
      <c r="C2045" t="s">
        <v>8132</v>
      </c>
      <c r="D2045" t="s">
        <v>6168</v>
      </c>
    </row>
    <row r="2046" spans="1:4">
      <c r="A2046" t="s">
        <v>8133</v>
      </c>
      <c r="B2046">
        <v>43612</v>
      </c>
      <c r="C2046" t="s">
        <v>8134</v>
      </c>
      <c r="D2046" t="s">
        <v>123</v>
      </c>
    </row>
    <row r="2047" spans="1:4">
      <c r="A2047" t="s">
        <v>8135</v>
      </c>
      <c r="B2047">
        <v>43625</v>
      </c>
      <c r="C2047" t="s">
        <v>8136</v>
      </c>
      <c r="D2047" t="s">
        <v>6168</v>
      </c>
    </row>
    <row r="2048" spans="1:4">
      <c r="A2048" t="s">
        <v>8137</v>
      </c>
      <c r="B2048">
        <v>24874</v>
      </c>
      <c r="C2048" t="s">
        <v>8138</v>
      </c>
      <c r="D2048" t="s">
        <v>6248</v>
      </c>
    </row>
    <row r="2049" spans="1:4">
      <c r="A2049" t="s">
        <v>17504</v>
      </c>
      <c r="B2049">
        <v>45927</v>
      </c>
      <c r="C2049" t="s">
        <v>9431</v>
      </c>
      <c r="D2049" t="s">
        <v>6168</v>
      </c>
    </row>
    <row r="2050" spans="1:4">
      <c r="A2050" t="s">
        <v>17505</v>
      </c>
      <c r="B2050">
        <v>45928</v>
      </c>
      <c r="C2050" t="s">
        <v>17506</v>
      </c>
      <c r="D2050" t="s">
        <v>6168</v>
      </c>
    </row>
    <row r="2051" spans="1:4">
      <c r="A2051" t="s">
        <v>17507</v>
      </c>
      <c r="B2051">
        <v>45929</v>
      </c>
      <c r="C2051" t="s">
        <v>12393</v>
      </c>
      <c r="D2051" t="s">
        <v>6168</v>
      </c>
    </row>
    <row r="2052" spans="1:4">
      <c r="A2052" t="s">
        <v>17508</v>
      </c>
      <c r="B2052">
        <v>45930</v>
      </c>
      <c r="C2052" t="s">
        <v>17509</v>
      </c>
      <c r="D2052" t="s">
        <v>6168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8139</v>
      </c>
      <c r="B2054">
        <v>40566</v>
      </c>
      <c r="C2054" t="s">
        <v>7271</v>
      </c>
      <c r="D2054" t="s">
        <v>6168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8140</v>
      </c>
      <c r="B2056">
        <v>3701</v>
      </c>
      <c r="C2056" t="s">
        <v>8141</v>
      </c>
      <c r="D2056" t="s">
        <v>6168</v>
      </c>
    </row>
    <row r="2057" spans="1:4">
      <c r="A2057" t="s">
        <v>8142</v>
      </c>
      <c r="B2057">
        <v>3702</v>
      </c>
      <c r="C2057" t="s">
        <v>6254</v>
      </c>
      <c r="D2057" t="s">
        <v>6168</v>
      </c>
    </row>
    <row r="2058" spans="1:4">
      <c r="A2058" t="s">
        <v>8143</v>
      </c>
      <c r="B2058">
        <v>3703</v>
      </c>
      <c r="C2058" t="s">
        <v>6257</v>
      </c>
      <c r="D2058" t="s">
        <v>6168</v>
      </c>
    </row>
    <row r="2059" spans="1:4">
      <c r="A2059" t="s">
        <v>8144</v>
      </c>
      <c r="B2059">
        <v>3704</v>
      </c>
      <c r="C2059" t="s">
        <v>4095</v>
      </c>
      <c r="D2059" t="s">
        <v>6168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8145</v>
      </c>
      <c r="B2062">
        <v>384</v>
      </c>
      <c r="C2062" t="s">
        <v>6394</v>
      </c>
      <c r="D2062" t="s">
        <v>6168</v>
      </c>
    </row>
    <row r="2063" spans="1:4">
      <c r="A2063" t="s">
        <v>8146</v>
      </c>
      <c r="B2063">
        <v>26120</v>
      </c>
      <c r="C2063" t="s">
        <v>7451</v>
      </c>
      <c r="D2063" t="s">
        <v>6168</v>
      </c>
    </row>
    <row r="2064" spans="1:4">
      <c r="A2064" t="s">
        <v>8147</v>
      </c>
      <c r="B2064">
        <v>386</v>
      </c>
      <c r="C2064" t="s">
        <v>8148</v>
      </c>
      <c r="D2064" t="s">
        <v>6168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8149</v>
      </c>
      <c r="B2066">
        <v>30903</v>
      </c>
      <c r="C2066" t="s">
        <v>8150</v>
      </c>
      <c r="D2066" t="s">
        <v>6168</v>
      </c>
    </row>
    <row r="2067" spans="1:4">
      <c r="A2067" t="s">
        <v>8151</v>
      </c>
      <c r="B2067">
        <v>21775</v>
      </c>
      <c r="C2067" t="s">
        <v>5134</v>
      </c>
      <c r="D2067" t="s">
        <v>6230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8152</v>
      </c>
      <c r="B2069">
        <v>4077</v>
      </c>
      <c r="C2069" t="s">
        <v>8153</v>
      </c>
      <c r="D2069" t="s">
        <v>6605</v>
      </c>
    </row>
    <row r="2070" spans="1:4">
      <c r="A2070" t="s">
        <v>8154</v>
      </c>
      <c r="B2070">
        <v>30224</v>
      </c>
      <c r="D2070" t="s">
        <v>6872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8155</v>
      </c>
      <c r="B2072">
        <v>37858</v>
      </c>
      <c r="C2072" t="s">
        <v>432</v>
      </c>
      <c r="D2072" t="s">
        <v>6168</v>
      </c>
    </row>
    <row r="2073" spans="1:4">
      <c r="A2073" t="s">
        <v>8156</v>
      </c>
      <c r="B2073">
        <v>2355</v>
      </c>
      <c r="C2073" t="s">
        <v>8157</v>
      </c>
      <c r="D2073" t="s">
        <v>6168</v>
      </c>
    </row>
    <row r="2074" spans="1:4">
      <c r="A2074" t="s">
        <v>8158</v>
      </c>
      <c r="B2074">
        <v>2356</v>
      </c>
      <c r="C2074" t="s">
        <v>6707</v>
      </c>
      <c r="D2074" t="s">
        <v>6168</v>
      </c>
    </row>
    <row r="2075" spans="1:4">
      <c r="A2075" t="s">
        <v>8159</v>
      </c>
      <c r="B2075">
        <v>2357</v>
      </c>
      <c r="C2075" t="s">
        <v>6399</v>
      </c>
      <c r="D2075" t="s">
        <v>6168</v>
      </c>
    </row>
    <row r="2076" spans="1:4">
      <c r="A2076" t="s">
        <v>8160</v>
      </c>
      <c r="B2076">
        <v>2358</v>
      </c>
      <c r="C2076" t="s">
        <v>6707</v>
      </c>
      <c r="D2076" t="s">
        <v>6168</v>
      </c>
    </row>
    <row r="2077" spans="1:4">
      <c r="A2077" t="s">
        <v>8161</v>
      </c>
      <c r="B2077">
        <v>2972</v>
      </c>
      <c r="C2077" t="s">
        <v>7124</v>
      </c>
      <c r="D2077" t="s">
        <v>6168</v>
      </c>
    </row>
    <row r="2078" spans="1:4">
      <c r="A2078" t="s">
        <v>8162</v>
      </c>
      <c r="B2078">
        <v>34234</v>
      </c>
      <c r="C2078" t="s">
        <v>8163</v>
      </c>
      <c r="D2078" t="s">
        <v>6168</v>
      </c>
    </row>
    <row r="2079" spans="1:4">
      <c r="A2079" t="s">
        <v>8164</v>
      </c>
      <c r="B2079">
        <v>2359</v>
      </c>
      <c r="C2079" t="s">
        <v>8165</v>
      </c>
      <c r="D2079" t="s">
        <v>6168</v>
      </c>
    </row>
    <row r="2080" spans="1:4">
      <c r="A2080" t="s">
        <v>8166</v>
      </c>
      <c r="B2080">
        <v>2360</v>
      </c>
      <c r="C2080" t="s">
        <v>6817</v>
      </c>
      <c r="D2080" t="s">
        <v>6168</v>
      </c>
    </row>
    <row r="2081" spans="1:4">
      <c r="A2081" t="s">
        <v>8167</v>
      </c>
      <c r="B2081">
        <v>23646</v>
      </c>
      <c r="C2081" t="s">
        <v>7426</v>
      </c>
      <c r="D2081" t="s">
        <v>6241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8168</v>
      </c>
      <c r="B2083">
        <v>24563</v>
      </c>
      <c r="C2083" t="s">
        <v>6853</v>
      </c>
      <c r="D2083" t="s">
        <v>6168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8169</v>
      </c>
      <c r="B2087">
        <v>5050</v>
      </c>
      <c r="C2087" t="s">
        <v>4950</v>
      </c>
      <c r="D2087" t="s">
        <v>6168</v>
      </c>
    </row>
    <row r="2088" spans="1:4">
      <c r="A2088" t="s">
        <v>8170</v>
      </c>
      <c r="B2088">
        <v>4189</v>
      </c>
      <c r="C2088" t="s">
        <v>8171</v>
      </c>
      <c r="D2088" t="s">
        <v>6168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8172</v>
      </c>
      <c r="B2091">
        <v>35661</v>
      </c>
      <c r="C2091" t="s">
        <v>5599</v>
      </c>
      <c r="D2091" t="s">
        <v>6248</v>
      </c>
    </row>
    <row r="2092" spans="1:4">
      <c r="A2092" t="s">
        <v>8173</v>
      </c>
      <c r="B2092">
        <v>30730</v>
      </c>
      <c r="C2092" t="s">
        <v>8174</v>
      </c>
      <c r="D2092" t="s">
        <v>6168</v>
      </c>
    </row>
    <row r="2093" spans="1:4">
      <c r="A2093" t="s">
        <v>8175</v>
      </c>
      <c r="B2093">
        <v>30731</v>
      </c>
      <c r="C2093" t="s">
        <v>8174</v>
      </c>
      <c r="D2093" t="s">
        <v>6168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8176</v>
      </c>
      <c r="B2096">
        <v>822</v>
      </c>
      <c r="D2096" t="s">
        <v>6267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8177</v>
      </c>
      <c r="B2098">
        <v>2618</v>
      </c>
      <c r="C2098" t="s">
        <v>8178</v>
      </c>
      <c r="D2098" t="s">
        <v>6168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8179</v>
      </c>
      <c r="B2100">
        <v>32245</v>
      </c>
      <c r="C2100" t="s">
        <v>8180</v>
      </c>
      <c r="D2100" t="s">
        <v>6168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8181</v>
      </c>
      <c r="B2104">
        <v>29364</v>
      </c>
      <c r="C2104" t="s">
        <v>2616</v>
      </c>
      <c r="D2104" t="s">
        <v>6168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8182</v>
      </c>
      <c r="B2106">
        <v>24565</v>
      </c>
      <c r="C2106" t="s">
        <v>6914</v>
      </c>
      <c r="D2106" t="s">
        <v>6168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8183</v>
      </c>
      <c r="B2108">
        <v>668</v>
      </c>
      <c r="C2108" t="s">
        <v>8184</v>
      </c>
      <c r="D2108" t="s">
        <v>6168</v>
      </c>
    </row>
    <row r="2109" spans="1:4">
      <c r="A2109" t="s">
        <v>8183</v>
      </c>
      <c r="B2109">
        <v>38260</v>
      </c>
      <c r="C2109" t="s">
        <v>8185</v>
      </c>
      <c r="D2109" t="s">
        <v>6168</v>
      </c>
    </row>
    <row r="2110" spans="1:4">
      <c r="A2110" t="s">
        <v>8186</v>
      </c>
      <c r="B2110">
        <v>23649</v>
      </c>
      <c r="C2110" t="s">
        <v>8187</v>
      </c>
      <c r="D2110" t="s">
        <v>6245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8188</v>
      </c>
      <c r="B2113">
        <v>25699</v>
      </c>
      <c r="C2113" t="s">
        <v>8100</v>
      </c>
      <c r="D2113" t="s">
        <v>6168</v>
      </c>
    </row>
    <row r="2114" spans="1:4">
      <c r="A2114" t="s">
        <v>8189</v>
      </c>
      <c r="B2114">
        <v>25029</v>
      </c>
      <c r="C2114" t="s">
        <v>8100</v>
      </c>
      <c r="D2114" t="s">
        <v>6168</v>
      </c>
    </row>
    <row r="2115" spans="1:4">
      <c r="A2115" t="s">
        <v>8190</v>
      </c>
      <c r="B2115">
        <v>30228</v>
      </c>
      <c r="C2115" t="s">
        <v>8191</v>
      </c>
      <c r="D2115" t="s">
        <v>6168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8192</v>
      </c>
      <c r="B2117">
        <v>3638</v>
      </c>
      <c r="C2117" t="s">
        <v>8193</v>
      </c>
      <c r="D2117" t="s">
        <v>6168</v>
      </c>
    </row>
    <row r="2118" spans="1:4">
      <c r="A2118" t="s">
        <v>8194</v>
      </c>
      <c r="B2118">
        <v>27261</v>
      </c>
      <c r="D2118" t="s">
        <v>6314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8195</v>
      </c>
      <c r="B2120">
        <v>39445</v>
      </c>
      <c r="C2120" t="s">
        <v>3016</v>
      </c>
      <c r="D2120" t="s">
        <v>6267</v>
      </c>
    </row>
    <row r="2121" spans="1:4">
      <c r="A2121" t="s">
        <v>8196</v>
      </c>
      <c r="B2121">
        <v>21776</v>
      </c>
      <c r="C2121" t="s">
        <v>2360</v>
      </c>
      <c r="D2121" t="s">
        <v>6314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8197</v>
      </c>
      <c r="B2124">
        <v>33908</v>
      </c>
      <c r="C2124" t="s">
        <v>4293</v>
      </c>
      <c r="D2124" t="s">
        <v>6168</v>
      </c>
    </row>
    <row r="2125" spans="1:4">
      <c r="A2125" t="s">
        <v>8198</v>
      </c>
      <c r="B2125">
        <v>29752</v>
      </c>
      <c r="C2125" t="s">
        <v>6194</v>
      </c>
      <c r="D2125" t="s">
        <v>6168</v>
      </c>
    </row>
    <row r="2126" spans="1:4">
      <c r="A2126" t="s">
        <v>8199</v>
      </c>
      <c r="B2126">
        <v>26398</v>
      </c>
      <c r="D2126" t="s">
        <v>6314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8200</v>
      </c>
      <c r="B2128">
        <v>35291</v>
      </c>
      <c r="C2128" t="s">
        <v>8201</v>
      </c>
      <c r="D2128" t="s">
        <v>6168</v>
      </c>
    </row>
    <row r="2129" spans="1:4">
      <c r="A2129" t="s">
        <v>8202</v>
      </c>
      <c r="B2129">
        <v>35292</v>
      </c>
      <c r="C2129" t="s">
        <v>8203</v>
      </c>
      <c r="D2129" t="s">
        <v>6168</v>
      </c>
    </row>
    <row r="2130" spans="1:4">
      <c r="A2130" t="s">
        <v>8204</v>
      </c>
      <c r="B2130">
        <v>24074</v>
      </c>
      <c r="C2130" t="s">
        <v>8205</v>
      </c>
      <c r="D2130" t="s">
        <v>6168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8206</v>
      </c>
      <c r="B2132">
        <v>19370</v>
      </c>
      <c r="C2132" t="s">
        <v>8207</v>
      </c>
      <c r="D2132" t="s">
        <v>6168</v>
      </c>
    </row>
    <row r="2133" spans="1:4">
      <c r="A2133" t="s">
        <v>8208</v>
      </c>
      <c r="B2133">
        <v>19371</v>
      </c>
      <c r="C2133" t="s">
        <v>8209</v>
      </c>
      <c r="D2133" t="s">
        <v>6168</v>
      </c>
    </row>
    <row r="2134" spans="1:4">
      <c r="A2134" t="s">
        <v>8210</v>
      </c>
      <c r="B2134">
        <v>19372</v>
      </c>
      <c r="D2134" t="s">
        <v>6168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8211</v>
      </c>
      <c r="B2137">
        <v>27364</v>
      </c>
      <c r="C2137" t="s">
        <v>8212</v>
      </c>
      <c r="D2137" t="s">
        <v>6168</v>
      </c>
    </row>
    <row r="2138" spans="1:4">
      <c r="A2138" t="s">
        <v>8213</v>
      </c>
      <c r="B2138">
        <v>21778</v>
      </c>
      <c r="C2138" t="s">
        <v>8214</v>
      </c>
      <c r="D2138" t="s">
        <v>6168</v>
      </c>
    </row>
    <row r="2139" spans="1:4">
      <c r="A2139" t="s">
        <v>8215</v>
      </c>
      <c r="B2139">
        <v>43432</v>
      </c>
      <c r="C2139" t="s">
        <v>8216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8217</v>
      </c>
      <c r="B2141">
        <v>3938</v>
      </c>
      <c r="C2141" t="s">
        <v>8218</v>
      </c>
      <c r="D2141" t="s">
        <v>6168</v>
      </c>
    </row>
    <row r="2142" spans="1:4">
      <c r="A2142" t="s">
        <v>8219</v>
      </c>
      <c r="B2142">
        <v>42407</v>
      </c>
      <c r="C2142" t="s">
        <v>8220</v>
      </c>
      <c r="D2142" t="s">
        <v>6267</v>
      </c>
    </row>
    <row r="2143" spans="1:4">
      <c r="A2143" t="s">
        <v>8221</v>
      </c>
      <c r="B2143">
        <v>42410</v>
      </c>
      <c r="C2143" t="s">
        <v>8220</v>
      </c>
      <c r="D2143" t="s">
        <v>6305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8222</v>
      </c>
      <c r="B2145">
        <v>587</v>
      </c>
      <c r="C2145" t="s">
        <v>8223</v>
      </c>
      <c r="D2145" t="s">
        <v>6168</v>
      </c>
    </row>
    <row r="2146" spans="1:4">
      <c r="A2146" t="s">
        <v>8224</v>
      </c>
      <c r="B2146">
        <v>20593</v>
      </c>
      <c r="C2146" t="s">
        <v>1537</v>
      </c>
      <c r="D2146" t="s">
        <v>6267</v>
      </c>
    </row>
    <row r="2147" spans="1:4">
      <c r="A2147" t="s">
        <v>8225</v>
      </c>
      <c r="B2147">
        <v>2516</v>
      </c>
      <c r="C2147" t="s">
        <v>1537</v>
      </c>
      <c r="D2147" t="s">
        <v>6305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8226</v>
      </c>
      <c r="B2149">
        <v>35389</v>
      </c>
      <c r="C2149" t="s">
        <v>8227</v>
      </c>
      <c r="D2149" t="s">
        <v>6245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8228</v>
      </c>
      <c r="B2151">
        <v>26111</v>
      </c>
      <c r="D2151" t="s">
        <v>6168</v>
      </c>
    </row>
    <row r="2152" spans="1:4">
      <c r="A2152" t="s">
        <v>8229</v>
      </c>
      <c r="B2152">
        <v>2997</v>
      </c>
      <c r="C2152" t="s">
        <v>8230</v>
      </c>
      <c r="D2152" t="s">
        <v>6168</v>
      </c>
    </row>
    <row r="2153" spans="1:4">
      <c r="A2153" t="s">
        <v>8231</v>
      </c>
      <c r="B2153">
        <v>19304</v>
      </c>
      <c r="C2153" t="s">
        <v>8232</v>
      </c>
      <c r="D2153" t="s">
        <v>6168</v>
      </c>
    </row>
    <row r="2154" spans="1:4">
      <c r="A2154" t="s">
        <v>8233</v>
      </c>
      <c r="B2154">
        <v>19327</v>
      </c>
      <c r="C2154" t="s">
        <v>1774</v>
      </c>
      <c r="D2154" t="s">
        <v>6168</v>
      </c>
    </row>
    <row r="2155" spans="1:4">
      <c r="A2155" t="s">
        <v>8234</v>
      </c>
      <c r="B2155">
        <v>19328</v>
      </c>
      <c r="C2155" t="s">
        <v>4907</v>
      </c>
      <c r="D2155" t="s">
        <v>6168</v>
      </c>
    </row>
    <row r="2156" spans="1:4">
      <c r="A2156" t="s">
        <v>8235</v>
      </c>
      <c r="B2156">
        <v>20371</v>
      </c>
      <c r="C2156" t="s">
        <v>8236</v>
      </c>
      <c r="D2156" t="s">
        <v>6168</v>
      </c>
    </row>
    <row r="2157" spans="1:4">
      <c r="A2157" t="s">
        <v>8237</v>
      </c>
      <c r="B2157">
        <v>19329</v>
      </c>
      <c r="C2157" t="s">
        <v>8238</v>
      </c>
      <c r="D2157" t="s">
        <v>6168</v>
      </c>
    </row>
    <row r="2158" spans="1:4">
      <c r="A2158" t="s">
        <v>8239</v>
      </c>
      <c r="B2158">
        <v>4381</v>
      </c>
      <c r="D2158" t="s">
        <v>6872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8240</v>
      </c>
      <c r="B2160">
        <v>23652</v>
      </c>
      <c r="D2160" t="s">
        <v>6230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8241</v>
      </c>
      <c r="B2162">
        <v>29211</v>
      </c>
      <c r="C2162" t="s">
        <v>8242</v>
      </c>
      <c r="D2162" t="s">
        <v>6168</v>
      </c>
    </row>
    <row r="2163" spans="1:4">
      <c r="A2163" t="s">
        <v>8243</v>
      </c>
      <c r="B2163">
        <v>284</v>
      </c>
      <c r="D2163" t="s">
        <v>6305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8244</v>
      </c>
      <c r="B2165">
        <v>23772</v>
      </c>
      <c r="C2165" t="s">
        <v>8245</v>
      </c>
      <c r="D2165" t="s">
        <v>6168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8246</v>
      </c>
      <c r="B2167">
        <v>5090</v>
      </c>
      <c r="C2167" t="s">
        <v>6762</v>
      </c>
      <c r="D2167" t="s">
        <v>6168</v>
      </c>
    </row>
    <row r="2168" spans="1:4">
      <c r="A2168" t="s">
        <v>8247</v>
      </c>
      <c r="B2168">
        <v>38261</v>
      </c>
      <c r="C2168" t="s">
        <v>1008</v>
      </c>
      <c r="D2168" t="s">
        <v>6168</v>
      </c>
    </row>
    <row r="2169" spans="1:4">
      <c r="A2169" t="s">
        <v>8248</v>
      </c>
      <c r="B2169">
        <v>5084</v>
      </c>
      <c r="D2169" t="s">
        <v>6168</v>
      </c>
    </row>
    <row r="2170" spans="1:4">
      <c r="A2170" t="s">
        <v>8249</v>
      </c>
      <c r="B2170">
        <v>38262</v>
      </c>
      <c r="C2170" t="s">
        <v>1790</v>
      </c>
      <c r="D2170" t="s">
        <v>6168</v>
      </c>
    </row>
    <row r="2171" spans="1:4">
      <c r="A2171" t="s">
        <v>8250</v>
      </c>
      <c r="B2171">
        <v>5089</v>
      </c>
      <c r="C2171" t="s">
        <v>8251</v>
      </c>
      <c r="D2171" t="s">
        <v>6168</v>
      </c>
    </row>
    <row r="2172" spans="1:4">
      <c r="A2172" t="s">
        <v>8252</v>
      </c>
      <c r="B2172">
        <v>5085</v>
      </c>
      <c r="D2172" t="s">
        <v>6248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8253</v>
      </c>
      <c r="B2174">
        <v>24568</v>
      </c>
      <c r="C2174" t="s">
        <v>7218</v>
      </c>
      <c r="D2174" t="s">
        <v>6168</v>
      </c>
    </row>
    <row r="2175" spans="1:4">
      <c r="A2175" t="s">
        <v>8254</v>
      </c>
      <c r="B2175">
        <v>35209</v>
      </c>
      <c r="C2175" t="s">
        <v>8255</v>
      </c>
      <c r="D2175" t="s">
        <v>6168</v>
      </c>
    </row>
    <row r="2176" spans="1:4">
      <c r="A2176" t="s">
        <v>8256</v>
      </c>
      <c r="B2176">
        <v>29367</v>
      </c>
      <c r="C2176" t="s">
        <v>626</v>
      </c>
      <c r="D2176" t="s">
        <v>6168</v>
      </c>
    </row>
    <row r="2177" spans="1:4">
      <c r="A2177" t="s">
        <v>8257</v>
      </c>
      <c r="B2177">
        <v>26396</v>
      </c>
      <c r="C2177" t="s">
        <v>8258</v>
      </c>
      <c r="D2177" t="s">
        <v>6168</v>
      </c>
    </row>
    <row r="2178" spans="1:4">
      <c r="A2178" t="s">
        <v>8259</v>
      </c>
      <c r="B2178">
        <v>24569</v>
      </c>
      <c r="C2178" t="s">
        <v>8260</v>
      </c>
      <c r="D2178" t="s">
        <v>6168</v>
      </c>
    </row>
    <row r="2179" spans="1:4">
      <c r="A2179" t="s">
        <v>8261</v>
      </c>
      <c r="B2179">
        <v>24570</v>
      </c>
      <c r="C2179" t="s">
        <v>626</v>
      </c>
      <c r="D2179" t="s">
        <v>6168</v>
      </c>
    </row>
    <row r="2180" spans="1:4">
      <c r="A2180" t="s">
        <v>8262</v>
      </c>
      <c r="B2180">
        <v>39688</v>
      </c>
      <c r="C2180" t="s">
        <v>8263</v>
      </c>
      <c r="D2180" t="s">
        <v>6168</v>
      </c>
    </row>
    <row r="2181" spans="1:4">
      <c r="A2181" t="s">
        <v>8264</v>
      </c>
      <c r="B2181">
        <v>39689</v>
      </c>
      <c r="C2181" t="s">
        <v>8255</v>
      </c>
      <c r="D2181" t="s">
        <v>6168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8265</v>
      </c>
      <c r="B2183">
        <v>2612</v>
      </c>
      <c r="C2183" t="s">
        <v>7926</v>
      </c>
      <c r="D2183" t="s">
        <v>6168</v>
      </c>
    </row>
    <row r="2184" spans="1:4">
      <c r="A2184" t="s">
        <v>8266</v>
      </c>
      <c r="B2184">
        <v>5246</v>
      </c>
      <c r="C2184" t="s">
        <v>8267</v>
      </c>
      <c r="D2184" t="s">
        <v>6449</v>
      </c>
    </row>
    <row r="2185" spans="1:4">
      <c r="A2185" t="s">
        <v>8268</v>
      </c>
      <c r="B2185">
        <v>5245</v>
      </c>
      <c r="C2185" t="s">
        <v>8269</v>
      </c>
      <c r="D2185" t="s">
        <v>6449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8270</v>
      </c>
      <c r="B2187">
        <v>21780</v>
      </c>
      <c r="C2187" t="s">
        <v>8271</v>
      </c>
      <c r="D2187" t="s">
        <v>6168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8272</v>
      </c>
      <c r="B2190">
        <v>27392</v>
      </c>
      <c r="C2190" t="s">
        <v>8273</v>
      </c>
      <c r="D2190" t="s">
        <v>6168</v>
      </c>
    </row>
    <row r="2191" spans="1:4">
      <c r="A2191" t="s">
        <v>8274</v>
      </c>
      <c r="B2191">
        <v>21782</v>
      </c>
      <c r="C2191" t="s">
        <v>7029</v>
      </c>
      <c r="D2191" t="s">
        <v>6168</v>
      </c>
    </row>
    <row r="2192" spans="1:4">
      <c r="A2192" t="s">
        <v>8275</v>
      </c>
      <c r="B2192">
        <v>21783</v>
      </c>
      <c r="C2192" t="s">
        <v>8276</v>
      </c>
      <c r="D2192" t="s">
        <v>6168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8277</v>
      </c>
      <c r="B2194">
        <v>4580</v>
      </c>
      <c r="C2194" t="s">
        <v>4950</v>
      </c>
      <c r="D2194" t="s">
        <v>6168</v>
      </c>
    </row>
    <row r="2195" spans="1:4">
      <c r="A2195" t="s">
        <v>8278</v>
      </c>
      <c r="B2195">
        <v>4581</v>
      </c>
      <c r="C2195" t="s">
        <v>6851</v>
      </c>
      <c r="D2195" t="s">
        <v>6168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8279</v>
      </c>
      <c r="B2197">
        <v>21784</v>
      </c>
      <c r="D2197" t="s">
        <v>6314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8280</v>
      </c>
      <c r="B2200">
        <v>29833</v>
      </c>
      <c r="C2200" t="s">
        <v>6964</v>
      </c>
      <c r="D2200" t="s">
        <v>6168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8281</v>
      </c>
      <c r="B2202">
        <v>27359</v>
      </c>
      <c r="C2202" t="s">
        <v>8282</v>
      </c>
      <c r="D2202" t="s">
        <v>6168</v>
      </c>
    </row>
    <row r="2203" spans="1:4">
      <c r="A2203" t="s">
        <v>8283</v>
      </c>
      <c r="B2203">
        <v>27360</v>
      </c>
      <c r="C2203" t="s">
        <v>8284</v>
      </c>
      <c r="D2203" t="s">
        <v>6168</v>
      </c>
    </row>
    <row r="2204" spans="1:4">
      <c r="A2204" t="s">
        <v>8285</v>
      </c>
      <c r="B2204">
        <v>27361</v>
      </c>
      <c r="C2204" t="s">
        <v>8286</v>
      </c>
      <c r="D2204" t="s">
        <v>6168</v>
      </c>
    </row>
    <row r="2205" spans="1:4">
      <c r="A2205" t="s">
        <v>8287</v>
      </c>
      <c r="B2205">
        <v>21787</v>
      </c>
      <c r="C2205" t="s">
        <v>6330</v>
      </c>
      <c r="D2205" t="s">
        <v>6168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8288</v>
      </c>
      <c r="B2207">
        <v>29873</v>
      </c>
      <c r="C2207" t="s">
        <v>6601</v>
      </c>
      <c r="D2207" t="s">
        <v>6168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8289</v>
      </c>
      <c r="B2210">
        <v>29454</v>
      </c>
      <c r="C2210" t="s">
        <v>8290</v>
      </c>
      <c r="D2210" t="s">
        <v>6168</v>
      </c>
    </row>
    <row r="2211" spans="1:4">
      <c r="A2211" t="s">
        <v>8291</v>
      </c>
      <c r="B2211">
        <v>27405</v>
      </c>
      <c r="D2211" t="s">
        <v>6245</v>
      </c>
    </row>
    <row r="2212" spans="1:4">
      <c r="A2212" t="s">
        <v>8292</v>
      </c>
      <c r="B2212">
        <v>23358</v>
      </c>
      <c r="C2212" t="s">
        <v>2705</v>
      </c>
      <c r="D2212" t="s">
        <v>6245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8293</v>
      </c>
      <c r="B2215">
        <v>35999</v>
      </c>
      <c r="C2215" t="s">
        <v>8294</v>
      </c>
      <c r="D2215" t="s">
        <v>6168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8295</v>
      </c>
      <c r="B2218">
        <v>31105</v>
      </c>
      <c r="C2218" t="s">
        <v>8296</v>
      </c>
      <c r="D2218" t="s">
        <v>6168</v>
      </c>
    </row>
    <row r="2219" spans="1:4">
      <c r="A2219" t="s">
        <v>8297</v>
      </c>
      <c r="B2219">
        <v>25453</v>
      </c>
      <c r="C2219" t="s">
        <v>1335</v>
      </c>
      <c r="D2219" t="s">
        <v>6168</v>
      </c>
    </row>
    <row r="2220" spans="1:4">
      <c r="A2220" t="s">
        <v>8298</v>
      </c>
      <c r="B2220">
        <v>31104</v>
      </c>
      <c r="C2220" t="s">
        <v>8299</v>
      </c>
      <c r="D2220" t="s">
        <v>6168</v>
      </c>
    </row>
    <row r="2221" spans="1:4">
      <c r="A2221" t="s">
        <v>8300</v>
      </c>
      <c r="B2221">
        <v>24078</v>
      </c>
      <c r="C2221" t="s">
        <v>2930</v>
      </c>
      <c r="D2221" t="s">
        <v>6168</v>
      </c>
    </row>
    <row r="2222" spans="1:4">
      <c r="A2222" t="s">
        <v>8301</v>
      </c>
      <c r="B2222">
        <v>5209</v>
      </c>
      <c r="D2222" t="s">
        <v>7283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8302</v>
      </c>
      <c r="B2224">
        <v>31775</v>
      </c>
      <c r="C2224" t="s">
        <v>8303</v>
      </c>
      <c r="D2224" t="s">
        <v>6168</v>
      </c>
    </row>
    <row r="2225" spans="1:4">
      <c r="A2225" t="s">
        <v>8304</v>
      </c>
      <c r="B2225">
        <v>27283</v>
      </c>
      <c r="C2225" t="s">
        <v>8305</v>
      </c>
      <c r="D2225" t="s">
        <v>6168</v>
      </c>
    </row>
    <row r="2226" spans="1:4">
      <c r="A2226" t="s">
        <v>8306</v>
      </c>
      <c r="B2226">
        <v>43293</v>
      </c>
      <c r="C2226" t="s">
        <v>8307</v>
      </c>
      <c r="D2226" t="s">
        <v>6168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16821</v>
      </c>
      <c r="B2229">
        <v>43861</v>
      </c>
      <c r="C2229" t="s">
        <v>16822</v>
      </c>
      <c r="D2229" t="s">
        <v>6168</v>
      </c>
    </row>
    <row r="2230" spans="1:4">
      <c r="A2230" t="s">
        <v>8308</v>
      </c>
      <c r="B2230">
        <v>31454</v>
      </c>
      <c r="D2230" t="s">
        <v>6168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8309</v>
      </c>
      <c r="B2233">
        <v>222</v>
      </c>
      <c r="D2233" t="s">
        <v>6168</v>
      </c>
    </row>
    <row r="2234" spans="1:4">
      <c r="A2234" t="s">
        <v>8310</v>
      </c>
      <c r="B2234">
        <v>33913</v>
      </c>
      <c r="C2234" t="s">
        <v>5743</v>
      </c>
      <c r="D2234" t="s">
        <v>6314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8311</v>
      </c>
      <c r="B2236">
        <v>22706</v>
      </c>
      <c r="C2236" t="s">
        <v>8312</v>
      </c>
      <c r="D2236" t="s">
        <v>6168</v>
      </c>
    </row>
    <row r="2237" spans="1:4">
      <c r="A2237" t="s">
        <v>8313</v>
      </c>
      <c r="B2237">
        <v>21789</v>
      </c>
      <c r="C2237" t="s">
        <v>8314</v>
      </c>
      <c r="D2237" t="s">
        <v>6168</v>
      </c>
    </row>
    <row r="2238" spans="1:4">
      <c r="A2238" t="s">
        <v>8315</v>
      </c>
      <c r="B2238">
        <v>23655</v>
      </c>
      <c r="C2238" t="s">
        <v>4227</v>
      </c>
      <c r="D2238" t="s">
        <v>6230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8316</v>
      </c>
      <c r="B2240">
        <v>10230</v>
      </c>
      <c r="C2240" t="s">
        <v>8317</v>
      </c>
      <c r="D2240" t="s">
        <v>6168</v>
      </c>
    </row>
    <row r="2241" spans="1:4">
      <c r="A2241" t="s">
        <v>16807</v>
      </c>
      <c r="B2241">
        <v>43359</v>
      </c>
      <c r="C2241" t="s">
        <v>16806</v>
      </c>
      <c r="D2241" t="s">
        <v>6168</v>
      </c>
    </row>
    <row r="2242" spans="1:4">
      <c r="A2242" t="s">
        <v>8318</v>
      </c>
      <c r="B2242">
        <v>208</v>
      </c>
      <c r="C2242" t="s">
        <v>6219</v>
      </c>
      <c r="D2242" t="s">
        <v>6168</v>
      </c>
    </row>
    <row r="2243" spans="1:4">
      <c r="A2243" t="s">
        <v>16805</v>
      </c>
      <c r="B2243">
        <v>43358</v>
      </c>
      <c r="C2243" t="s">
        <v>16806</v>
      </c>
      <c r="D2243" t="s">
        <v>6168</v>
      </c>
    </row>
    <row r="2244" spans="1:4">
      <c r="A2244" t="s">
        <v>8319</v>
      </c>
      <c r="B2244">
        <v>23066</v>
      </c>
      <c r="C2244" t="s">
        <v>432</v>
      </c>
      <c r="D2244" t="s">
        <v>6267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8320</v>
      </c>
      <c r="B2246">
        <v>27390</v>
      </c>
      <c r="C2246" t="s">
        <v>8321</v>
      </c>
      <c r="D2246" t="s">
        <v>6168</v>
      </c>
    </row>
    <row r="2247" spans="1:4">
      <c r="A2247" t="s">
        <v>8322</v>
      </c>
      <c r="B2247">
        <v>21791</v>
      </c>
      <c r="C2247" t="s">
        <v>6219</v>
      </c>
      <c r="D2247" t="s">
        <v>6168</v>
      </c>
    </row>
    <row r="2248" spans="1:4">
      <c r="A2248" t="s">
        <v>8323</v>
      </c>
      <c r="B2248">
        <v>27391</v>
      </c>
      <c r="D2248" t="s">
        <v>6168</v>
      </c>
    </row>
    <row r="2249" spans="1:4">
      <c r="A2249" t="s">
        <v>8324</v>
      </c>
      <c r="B2249">
        <v>42026</v>
      </c>
      <c r="C2249" t="s">
        <v>5270</v>
      </c>
      <c r="D2249" t="s">
        <v>6168</v>
      </c>
    </row>
    <row r="2250" spans="1:4">
      <c r="A2250" t="s">
        <v>8325</v>
      </c>
      <c r="B2250">
        <v>27389</v>
      </c>
      <c r="C2250" t="s">
        <v>8326</v>
      </c>
      <c r="D2250" t="s">
        <v>6168</v>
      </c>
    </row>
    <row r="2251" spans="1:4">
      <c r="A2251" t="s">
        <v>8327</v>
      </c>
      <c r="B2251">
        <v>21792</v>
      </c>
      <c r="C2251" t="s">
        <v>8328</v>
      </c>
      <c r="D2251" t="s">
        <v>6267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8329</v>
      </c>
      <c r="B2254">
        <v>30552</v>
      </c>
      <c r="C2254" t="s">
        <v>8330</v>
      </c>
      <c r="D2254" t="s">
        <v>6168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8331</v>
      </c>
      <c r="B2259">
        <v>815</v>
      </c>
      <c r="D2259" t="s">
        <v>6267</v>
      </c>
    </row>
    <row r="2260" spans="1:4">
      <c r="A2260" t="s">
        <v>8332</v>
      </c>
      <c r="B2260">
        <v>816</v>
      </c>
      <c r="D2260" t="s">
        <v>6305</v>
      </c>
    </row>
    <row r="2261" spans="1:4">
      <c r="A2261" t="s">
        <v>8333</v>
      </c>
      <c r="B2261">
        <v>20614</v>
      </c>
      <c r="C2261" t="s">
        <v>8334</v>
      </c>
      <c r="D2261" t="s">
        <v>6314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8335</v>
      </c>
      <c r="B2263">
        <v>29834</v>
      </c>
      <c r="C2263" t="s">
        <v>8336</v>
      </c>
      <c r="D2263" t="s">
        <v>6168</v>
      </c>
    </row>
    <row r="2264" spans="1:4">
      <c r="A2264" t="s">
        <v>8337</v>
      </c>
      <c r="B2264">
        <v>3129</v>
      </c>
      <c r="C2264" t="s">
        <v>6417</v>
      </c>
      <c r="D2264" t="s">
        <v>6168</v>
      </c>
    </row>
    <row r="2265" spans="1:4">
      <c r="A2265" t="s">
        <v>8338</v>
      </c>
      <c r="B2265">
        <v>22895</v>
      </c>
      <c r="C2265" t="s">
        <v>1983</v>
      </c>
      <c r="D2265" t="s">
        <v>6168</v>
      </c>
    </row>
    <row r="2266" spans="1:4">
      <c r="A2266" t="s">
        <v>8339</v>
      </c>
      <c r="B2266">
        <v>3128</v>
      </c>
      <c r="D2266" t="s">
        <v>6168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8340</v>
      </c>
      <c r="B2268">
        <v>36000</v>
      </c>
      <c r="C2268" t="s">
        <v>5747</v>
      </c>
      <c r="D2268" t="s">
        <v>6248</v>
      </c>
    </row>
    <row r="2269" spans="1:4">
      <c r="A2269" t="s">
        <v>8341</v>
      </c>
      <c r="B2269">
        <v>35646</v>
      </c>
      <c r="C2269" t="s">
        <v>8342</v>
      </c>
      <c r="D2269" t="s">
        <v>6168</v>
      </c>
    </row>
    <row r="2270" spans="1:4">
      <c r="A2270" t="s">
        <v>8343</v>
      </c>
      <c r="B2270">
        <v>35647</v>
      </c>
      <c r="C2270" t="s">
        <v>8342</v>
      </c>
      <c r="D2270" t="s">
        <v>6168</v>
      </c>
    </row>
    <row r="2271" spans="1:4">
      <c r="A2271" t="s">
        <v>8344</v>
      </c>
      <c r="B2271">
        <v>25089</v>
      </c>
      <c r="C2271" t="s">
        <v>8345</v>
      </c>
      <c r="D2271" t="s">
        <v>6245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8346</v>
      </c>
      <c r="B2273">
        <v>31885</v>
      </c>
      <c r="C2273" t="s">
        <v>8345</v>
      </c>
      <c r="D2273" t="s">
        <v>6230</v>
      </c>
    </row>
    <row r="2274" spans="1:4">
      <c r="A2274" t="s">
        <v>8347</v>
      </c>
      <c r="B2274">
        <v>36001</v>
      </c>
      <c r="C2274" t="s">
        <v>264</v>
      </c>
      <c r="D2274" t="s">
        <v>6267</v>
      </c>
    </row>
    <row r="2275" spans="1:4">
      <c r="A2275" t="s">
        <v>8348</v>
      </c>
      <c r="B2275">
        <v>39783</v>
      </c>
      <c r="C2275" t="s">
        <v>264</v>
      </c>
      <c r="D2275" t="s">
        <v>6314</v>
      </c>
    </row>
    <row r="2276" spans="1:4">
      <c r="A2276" t="s">
        <v>8349</v>
      </c>
      <c r="B2276">
        <v>30116</v>
      </c>
      <c r="C2276" t="s">
        <v>659</v>
      </c>
      <c r="D2276" t="s">
        <v>6168</v>
      </c>
    </row>
    <row r="2277" spans="1:4">
      <c r="A2277" t="s">
        <v>8350</v>
      </c>
      <c r="B2277">
        <v>30115</v>
      </c>
      <c r="C2277" t="s">
        <v>8351</v>
      </c>
      <c r="D2277" t="s">
        <v>6168</v>
      </c>
    </row>
    <row r="2278" spans="1:4">
      <c r="A2278" t="s">
        <v>8352</v>
      </c>
      <c r="B2278">
        <v>30114</v>
      </c>
      <c r="C2278" t="s">
        <v>8353</v>
      </c>
      <c r="D2278" t="s">
        <v>6168</v>
      </c>
    </row>
    <row r="2279" spans="1:4">
      <c r="A2279" t="s">
        <v>8354</v>
      </c>
      <c r="B2279">
        <v>29632</v>
      </c>
      <c r="C2279" t="s">
        <v>8355</v>
      </c>
      <c r="D2279" t="s">
        <v>6267</v>
      </c>
    </row>
    <row r="2280" spans="1:4">
      <c r="A2280" t="s">
        <v>8356</v>
      </c>
      <c r="B2280">
        <v>29740</v>
      </c>
      <c r="C2280" t="s">
        <v>8355</v>
      </c>
      <c r="D2280" t="s">
        <v>6305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8357</v>
      </c>
      <c r="B2282">
        <v>27292</v>
      </c>
      <c r="C2282" t="s">
        <v>6417</v>
      </c>
      <c r="D2282" t="s">
        <v>6168</v>
      </c>
    </row>
    <row r="2283" spans="1:4">
      <c r="A2283" t="s">
        <v>8358</v>
      </c>
      <c r="B2283">
        <v>35644</v>
      </c>
      <c r="C2283" t="s">
        <v>7271</v>
      </c>
      <c r="D2283" t="s">
        <v>6168</v>
      </c>
    </row>
    <row r="2284" spans="1:4">
      <c r="A2284" t="s">
        <v>8359</v>
      </c>
      <c r="B2284">
        <v>4562</v>
      </c>
      <c r="C2284" t="s">
        <v>8360</v>
      </c>
      <c r="D2284" t="s">
        <v>6168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8361</v>
      </c>
      <c r="B2286">
        <v>29613</v>
      </c>
      <c r="C2286" t="s">
        <v>4246</v>
      </c>
      <c r="D2286" t="s">
        <v>6168</v>
      </c>
    </row>
    <row r="2287" spans="1:4">
      <c r="A2287" t="s">
        <v>8362</v>
      </c>
      <c r="B2287">
        <v>29559</v>
      </c>
      <c r="C2287" t="s">
        <v>1899</v>
      </c>
      <c r="D2287" t="s">
        <v>6168</v>
      </c>
    </row>
    <row r="2288" spans="1:4">
      <c r="A2288" t="s">
        <v>8363</v>
      </c>
      <c r="B2288">
        <v>35206</v>
      </c>
      <c r="C2288" t="s">
        <v>1899</v>
      </c>
      <c r="D2288" t="s">
        <v>6168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8364</v>
      </c>
      <c r="B2290">
        <v>21794</v>
      </c>
      <c r="C2290" t="s">
        <v>7124</v>
      </c>
      <c r="D2290" t="s">
        <v>6168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8365</v>
      </c>
      <c r="B2292">
        <v>2264</v>
      </c>
      <c r="C2292" t="s">
        <v>8366</v>
      </c>
      <c r="D2292" t="s">
        <v>6449</v>
      </c>
    </row>
    <row r="2293" spans="1:4">
      <c r="A2293" t="s">
        <v>8367</v>
      </c>
      <c r="B2293">
        <v>171</v>
      </c>
      <c r="C2293" t="s">
        <v>7470</v>
      </c>
      <c r="D2293" t="s">
        <v>6168</v>
      </c>
    </row>
    <row r="2294" spans="1:4">
      <c r="A2294" t="s">
        <v>8368</v>
      </c>
      <c r="B2294">
        <v>172</v>
      </c>
      <c r="C2294" t="s">
        <v>2100</v>
      </c>
      <c r="D2294" t="s">
        <v>6168</v>
      </c>
    </row>
    <row r="2295" spans="1:4">
      <c r="A2295" t="s">
        <v>8369</v>
      </c>
      <c r="B2295">
        <v>173</v>
      </c>
      <c r="C2295" t="s">
        <v>8370</v>
      </c>
      <c r="D2295" t="s">
        <v>6168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8371</v>
      </c>
      <c r="B2297">
        <v>40558</v>
      </c>
      <c r="C2297" t="s">
        <v>8372</v>
      </c>
      <c r="D2297" t="s">
        <v>6245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17254</v>
      </c>
      <c r="B2299">
        <v>45339</v>
      </c>
      <c r="C2299" t="s">
        <v>17255</v>
      </c>
      <c r="D2299" t="s">
        <v>123</v>
      </c>
    </row>
    <row r="2300" spans="1:4">
      <c r="A2300" t="s">
        <v>17385</v>
      </c>
      <c r="B2300">
        <v>45479</v>
      </c>
      <c r="C2300" t="s">
        <v>10665</v>
      </c>
      <c r="D2300" t="s">
        <v>6168</v>
      </c>
    </row>
    <row r="2301" spans="1:4">
      <c r="A2301" t="s">
        <v>8373</v>
      </c>
      <c r="B2301">
        <v>4407</v>
      </c>
      <c r="C2301" t="s">
        <v>8374</v>
      </c>
      <c r="D2301" t="s">
        <v>6245</v>
      </c>
    </row>
    <row r="2302" spans="1:4">
      <c r="A2302" t="s">
        <v>8375</v>
      </c>
      <c r="B2302">
        <v>30230</v>
      </c>
      <c r="C2302" t="s">
        <v>8376</v>
      </c>
      <c r="D2302" t="s">
        <v>6245</v>
      </c>
    </row>
    <row r="2303" spans="1:4">
      <c r="A2303" t="s">
        <v>8377</v>
      </c>
      <c r="B2303">
        <v>43660</v>
      </c>
      <c r="C2303" t="s">
        <v>8378</v>
      </c>
      <c r="D2303" t="s">
        <v>6245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8379</v>
      </c>
      <c r="B2305">
        <v>30231</v>
      </c>
      <c r="C2305" t="s">
        <v>7430</v>
      </c>
      <c r="D2305" t="s">
        <v>6168</v>
      </c>
    </row>
    <row r="2306" spans="1:4">
      <c r="A2306" t="s">
        <v>8380</v>
      </c>
      <c r="B2306">
        <v>35236</v>
      </c>
      <c r="C2306" t="s">
        <v>8013</v>
      </c>
      <c r="D2306" t="s">
        <v>6168</v>
      </c>
    </row>
    <row r="2307" spans="1:4">
      <c r="A2307" t="s">
        <v>8381</v>
      </c>
      <c r="B2307">
        <v>30232</v>
      </c>
      <c r="C2307" t="s">
        <v>8013</v>
      </c>
      <c r="D2307" t="s">
        <v>6168</v>
      </c>
    </row>
    <row r="2308" spans="1:4">
      <c r="A2308" t="s">
        <v>8382</v>
      </c>
      <c r="B2308">
        <v>25307</v>
      </c>
      <c r="C2308" t="s">
        <v>626</v>
      </c>
      <c r="D2308" t="s">
        <v>6168</v>
      </c>
    </row>
    <row r="2309" spans="1:4">
      <c r="A2309" t="s">
        <v>8383</v>
      </c>
      <c r="B2309">
        <v>35237</v>
      </c>
      <c r="C2309" t="s">
        <v>8384</v>
      </c>
      <c r="D2309" t="s">
        <v>6168</v>
      </c>
    </row>
    <row r="2310" spans="1:4">
      <c r="A2310" t="s">
        <v>8385</v>
      </c>
      <c r="B2310">
        <v>26393</v>
      </c>
      <c r="C2310" t="s">
        <v>2633</v>
      </c>
      <c r="D2310" t="s">
        <v>6168</v>
      </c>
    </row>
    <row r="2311" spans="1:4">
      <c r="A2311" t="s">
        <v>8386</v>
      </c>
      <c r="B2311">
        <v>26392</v>
      </c>
      <c r="C2311" t="s">
        <v>8387</v>
      </c>
      <c r="D2311" t="s">
        <v>6168</v>
      </c>
    </row>
    <row r="2312" spans="1:4">
      <c r="A2312" t="s">
        <v>8388</v>
      </c>
      <c r="B2312">
        <v>35238</v>
      </c>
      <c r="C2312" t="s">
        <v>8389</v>
      </c>
      <c r="D2312" t="s">
        <v>6168</v>
      </c>
    </row>
    <row r="2313" spans="1:4">
      <c r="A2313" t="s">
        <v>8390</v>
      </c>
      <c r="B2313">
        <v>35239</v>
      </c>
      <c r="C2313" t="s">
        <v>8391</v>
      </c>
      <c r="D2313" t="s">
        <v>6168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8392</v>
      </c>
      <c r="B2316">
        <v>475</v>
      </c>
      <c r="C2316" t="s">
        <v>8393</v>
      </c>
      <c r="D2316" t="s">
        <v>6168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8394</v>
      </c>
      <c r="B2319">
        <v>26390</v>
      </c>
      <c r="C2319" t="s">
        <v>6194</v>
      </c>
      <c r="D2319" t="s">
        <v>6168</v>
      </c>
    </row>
    <row r="2320" spans="1:4">
      <c r="A2320" t="s">
        <v>8395</v>
      </c>
      <c r="B2320">
        <v>26389</v>
      </c>
      <c r="C2320" t="s">
        <v>6879</v>
      </c>
      <c r="D2320" t="s">
        <v>6168</v>
      </c>
    </row>
    <row r="2321" spans="1:4">
      <c r="A2321" t="s">
        <v>8396</v>
      </c>
      <c r="B2321">
        <v>35308</v>
      </c>
      <c r="C2321" t="s">
        <v>8397</v>
      </c>
      <c r="D2321" t="s">
        <v>6168</v>
      </c>
    </row>
    <row r="2322" spans="1:4">
      <c r="A2322" t="s">
        <v>8398</v>
      </c>
      <c r="B2322">
        <v>35309</v>
      </c>
      <c r="C2322" t="s">
        <v>8399</v>
      </c>
      <c r="D2322" t="s">
        <v>6168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8400</v>
      </c>
      <c r="B2324">
        <v>4163</v>
      </c>
      <c r="C2324" t="s">
        <v>6219</v>
      </c>
      <c r="D2324" t="s">
        <v>6168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8401</v>
      </c>
      <c r="B2326">
        <v>20612</v>
      </c>
      <c r="C2326" t="s">
        <v>444</v>
      </c>
      <c r="D2326" t="s">
        <v>6314</v>
      </c>
    </row>
    <row r="2327" spans="1:4">
      <c r="A2327" t="s">
        <v>8402</v>
      </c>
      <c r="B2327">
        <v>30233</v>
      </c>
      <c r="D2327" t="s">
        <v>6314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8403</v>
      </c>
      <c r="B2329">
        <v>39494</v>
      </c>
      <c r="C2329" t="s">
        <v>1294</v>
      </c>
      <c r="D2329" t="s">
        <v>6267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8404</v>
      </c>
      <c r="B2331">
        <v>30863</v>
      </c>
      <c r="C2331" t="s">
        <v>8405</v>
      </c>
      <c r="D2331" t="s">
        <v>6168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8406</v>
      </c>
      <c r="B2336">
        <v>38321</v>
      </c>
      <c r="C2336" t="s">
        <v>3899</v>
      </c>
      <c r="D2336" t="s">
        <v>6267</v>
      </c>
    </row>
    <row r="2337" spans="1:4">
      <c r="A2337" t="s">
        <v>8407</v>
      </c>
      <c r="B2337">
        <v>38342</v>
      </c>
      <c r="C2337" t="s">
        <v>3899</v>
      </c>
      <c r="D2337" t="s">
        <v>6314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8408</v>
      </c>
      <c r="B2339">
        <v>43442</v>
      </c>
      <c r="C2339" t="s">
        <v>8409</v>
      </c>
      <c r="D2339" t="s">
        <v>6168</v>
      </c>
    </row>
    <row r="2340" spans="1:4">
      <c r="A2340" t="s">
        <v>8410</v>
      </c>
      <c r="B2340">
        <v>3660</v>
      </c>
      <c r="C2340" t="s">
        <v>7271</v>
      </c>
      <c r="D2340" t="s">
        <v>6168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8411</v>
      </c>
      <c r="B2343">
        <v>39642</v>
      </c>
      <c r="C2343" t="s">
        <v>1169</v>
      </c>
      <c r="D2343" t="s">
        <v>6314</v>
      </c>
    </row>
    <row r="2344" spans="1:4">
      <c r="A2344" t="s">
        <v>8412</v>
      </c>
      <c r="B2344">
        <v>36003</v>
      </c>
      <c r="C2344" t="s">
        <v>8413</v>
      </c>
      <c r="D2344" t="s">
        <v>6267</v>
      </c>
    </row>
    <row r="2345" spans="1:4">
      <c r="A2345" t="s">
        <v>8412</v>
      </c>
      <c r="B2345">
        <v>44481</v>
      </c>
      <c r="C2345" t="s">
        <v>1169</v>
      </c>
      <c r="D2345" t="s">
        <v>6267</v>
      </c>
    </row>
    <row r="2346" spans="1:4">
      <c r="A2346" t="s">
        <v>8414</v>
      </c>
      <c r="B2346">
        <v>35122</v>
      </c>
      <c r="C2346" t="s">
        <v>8415</v>
      </c>
      <c r="D2346" t="s">
        <v>6245</v>
      </c>
    </row>
    <row r="2347" spans="1:4">
      <c r="A2347" t="s">
        <v>8416</v>
      </c>
      <c r="B2347">
        <v>39639</v>
      </c>
      <c r="C2347" t="s">
        <v>8417</v>
      </c>
      <c r="D2347" t="s">
        <v>6241</v>
      </c>
    </row>
    <row r="2348" spans="1:4">
      <c r="A2348" t="s">
        <v>8416</v>
      </c>
      <c r="B2348">
        <v>40763</v>
      </c>
      <c r="C2348" t="s">
        <v>1169</v>
      </c>
      <c r="D2348" t="s">
        <v>6314</v>
      </c>
    </row>
    <row r="2349" spans="1:4">
      <c r="A2349" t="s">
        <v>8418</v>
      </c>
      <c r="B2349">
        <v>43600</v>
      </c>
      <c r="C2349" t="s">
        <v>8419</v>
      </c>
      <c r="D2349" t="s">
        <v>123</v>
      </c>
    </row>
    <row r="2350" spans="1:4">
      <c r="A2350" t="s">
        <v>8420</v>
      </c>
      <c r="B2350">
        <v>43613</v>
      </c>
      <c r="C2350" t="s">
        <v>8421</v>
      </c>
      <c r="D2350" t="s">
        <v>6168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8422</v>
      </c>
      <c r="B2353">
        <v>43443</v>
      </c>
      <c r="C2353" t="s">
        <v>8423</v>
      </c>
      <c r="D2353" t="s">
        <v>6168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8424</v>
      </c>
      <c r="B2356">
        <v>29556</v>
      </c>
      <c r="C2356" t="s">
        <v>3293</v>
      </c>
      <c r="D2356" t="s">
        <v>6168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8425</v>
      </c>
      <c r="B2358">
        <v>21796</v>
      </c>
      <c r="C2358" t="s">
        <v>8426</v>
      </c>
      <c r="D2358" t="s">
        <v>6168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8427</v>
      </c>
      <c r="B2360">
        <v>4315</v>
      </c>
      <c r="C2360" t="s">
        <v>1277</v>
      </c>
      <c r="D2360" t="s">
        <v>6168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8428</v>
      </c>
      <c r="B2362">
        <v>42923</v>
      </c>
      <c r="D2362" t="s">
        <v>6230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8429</v>
      </c>
      <c r="B2364">
        <v>39481</v>
      </c>
      <c r="D2364" t="s">
        <v>6230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8430</v>
      </c>
      <c r="B2366">
        <v>24579</v>
      </c>
      <c r="C2366" t="s">
        <v>8431</v>
      </c>
      <c r="D2366" t="s">
        <v>6168</v>
      </c>
    </row>
    <row r="2367" spans="1:4">
      <c r="A2367" t="s">
        <v>8432</v>
      </c>
      <c r="B2367">
        <v>30521</v>
      </c>
      <c r="C2367" t="s">
        <v>2918</v>
      </c>
      <c r="D2367" t="s">
        <v>6168</v>
      </c>
    </row>
    <row r="2368" spans="1:4">
      <c r="A2368" t="s">
        <v>8433</v>
      </c>
      <c r="B2368">
        <v>24580</v>
      </c>
      <c r="C2368" t="s">
        <v>8434</v>
      </c>
      <c r="D2368" t="s">
        <v>6168</v>
      </c>
    </row>
    <row r="2369" spans="1:4">
      <c r="A2369" t="s">
        <v>16941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8435</v>
      </c>
      <c r="B2371">
        <v>30520</v>
      </c>
      <c r="C2371" t="s">
        <v>7430</v>
      </c>
      <c r="D2371" t="s">
        <v>6168</v>
      </c>
    </row>
    <row r="2372" spans="1:4">
      <c r="A2372" t="s">
        <v>8436</v>
      </c>
      <c r="B2372">
        <v>41146</v>
      </c>
      <c r="C2372" t="s">
        <v>7741</v>
      </c>
      <c r="D2372" t="s">
        <v>6168</v>
      </c>
    </row>
    <row r="2373" spans="1:4">
      <c r="A2373" t="s">
        <v>8437</v>
      </c>
      <c r="B2373">
        <v>24581</v>
      </c>
      <c r="C2373" t="s">
        <v>6190</v>
      </c>
      <c r="D2373" t="s">
        <v>6168</v>
      </c>
    </row>
    <row r="2374" spans="1:4">
      <c r="A2374" t="s">
        <v>8438</v>
      </c>
      <c r="B2374">
        <v>3650</v>
      </c>
      <c r="C2374" t="s">
        <v>8439</v>
      </c>
      <c r="D2374" t="s">
        <v>6322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8440</v>
      </c>
      <c r="B2376">
        <v>30234</v>
      </c>
      <c r="C2376" t="s">
        <v>2821</v>
      </c>
      <c r="D2376" t="s">
        <v>6168</v>
      </c>
    </row>
    <row r="2377" spans="1:4">
      <c r="A2377" t="s">
        <v>8441</v>
      </c>
      <c r="B2377">
        <v>24582</v>
      </c>
      <c r="C2377" t="s">
        <v>8442</v>
      </c>
      <c r="D2377" t="s">
        <v>6168</v>
      </c>
    </row>
    <row r="2378" spans="1:4">
      <c r="A2378" t="s">
        <v>8443</v>
      </c>
      <c r="B2378">
        <v>24583</v>
      </c>
      <c r="C2378" t="s">
        <v>8104</v>
      </c>
      <c r="D2378" t="s">
        <v>6168</v>
      </c>
    </row>
    <row r="2379" spans="1:4">
      <c r="A2379" t="s">
        <v>8444</v>
      </c>
      <c r="B2379">
        <v>26388</v>
      </c>
      <c r="D2379" t="s">
        <v>6168</v>
      </c>
    </row>
    <row r="2380" spans="1:4">
      <c r="A2380" t="s">
        <v>17544</v>
      </c>
      <c r="B2380">
        <v>45974</v>
      </c>
      <c r="C2380" t="s">
        <v>4554</v>
      </c>
      <c r="D2380" t="s">
        <v>123</v>
      </c>
    </row>
    <row r="2381" spans="1:4">
      <c r="A2381" t="s">
        <v>8445</v>
      </c>
      <c r="B2381">
        <v>38331</v>
      </c>
      <c r="D2381" t="s">
        <v>6292</v>
      </c>
    </row>
    <row r="2382" spans="1:4">
      <c r="A2382" t="s">
        <v>8446</v>
      </c>
      <c r="B2382">
        <v>3127</v>
      </c>
      <c r="D2382" t="s">
        <v>6243</v>
      </c>
    </row>
    <row r="2383" spans="1:4">
      <c r="A2383" t="s">
        <v>8447</v>
      </c>
      <c r="B2383">
        <v>40557</v>
      </c>
      <c r="C2383" t="s">
        <v>8448</v>
      </c>
      <c r="D2383" t="s">
        <v>6292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8449</v>
      </c>
      <c r="B2385">
        <v>29851</v>
      </c>
      <c r="C2385" t="s">
        <v>8450</v>
      </c>
      <c r="D2385" t="s">
        <v>6168</v>
      </c>
    </row>
    <row r="2386" spans="1:4">
      <c r="A2386" t="s">
        <v>8451</v>
      </c>
      <c r="B2386">
        <v>29853</v>
      </c>
      <c r="C2386" t="s">
        <v>6219</v>
      </c>
      <c r="D2386" t="s">
        <v>6168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8452</v>
      </c>
      <c r="B2388">
        <v>29837</v>
      </c>
      <c r="C2388" t="s">
        <v>5035</v>
      </c>
      <c r="D2388" t="s">
        <v>6168</v>
      </c>
    </row>
    <row r="2389" spans="1:4">
      <c r="A2389" t="s">
        <v>8453</v>
      </c>
      <c r="B2389">
        <v>29854</v>
      </c>
      <c r="C2389" t="s">
        <v>8454</v>
      </c>
      <c r="D2389" t="s">
        <v>6168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8455</v>
      </c>
      <c r="B2391">
        <v>26387</v>
      </c>
      <c r="C2391" t="s">
        <v>7065</v>
      </c>
      <c r="D2391" t="s">
        <v>6168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8456</v>
      </c>
      <c r="B2393">
        <v>30810</v>
      </c>
      <c r="C2393" t="s">
        <v>3293</v>
      </c>
      <c r="D2393" t="s">
        <v>6248</v>
      </c>
    </row>
    <row r="2394" spans="1:4">
      <c r="A2394" t="s">
        <v>8457</v>
      </c>
      <c r="B2394">
        <v>35603</v>
      </c>
      <c r="C2394" t="s">
        <v>8458</v>
      </c>
      <c r="D2394" t="s">
        <v>6168</v>
      </c>
    </row>
    <row r="2395" spans="1:4">
      <c r="A2395" t="s">
        <v>8459</v>
      </c>
      <c r="B2395">
        <v>38788</v>
      </c>
      <c r="C2395" t="s">
        <v>8458</v>
      </c>
      <c r="D2395" t="s">
        <v>6168</v>
      </c>
    </row>
    <row r="2396" spans="1:4">
      <c r="A2396" t="s">
        <v>8460</v>
      </c>
      <c r="B2396">
        <v>30862</v>
      </c>
      <c r="C2396" t="s">
        <v>6937</v>
      </c>
      <c r="D2396" t="s">
        <v>6168</v>
      </c>
    </row>
    <row r="2397" spans="1:4">
      <c r="A2397" t="s">
        <v>8461</v>
      </c>
      <c r="B2397">
        <v>42745</v>
      </c>
      <c r="C2397" t="s">
        <v>8462</v>
      </c>
      <c r="D2397" t="s">
        <v>6168</v>
      </c>
    </row>
    <row r="2398" spans="1:4">
      <c r="A2398" t="s">
        <v>8463</v>
      </c>
      <c r="B2398">
        <v>40556</v>
      </c>
      <c r="C2398" t="s">
        <v>8464</v>
      </c>
      <c r="D2398" t="s">
        <v>6168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8465</v>
      </c>
      <c r="B2400">
        <v>35629</v>
      </c>
      <c r="C2400" t="s">
        <v>8466</v>
      </c>
      <c r="D2400" t="s">
        <v>6168</v>
      </c>
    </row>
    <row r="2401" spans="1:4">
      <c r="A2401" t="s">
        <v>8467</v>
      </c>
      <c r="B2401">
        <v>38781</v>
      </c>
      <c r="C2401" t="s">
        <v>8468</v>
      </c>
      <c r="D2401" t="s">
        <v>6168</v>
      </c>
    </row>
    <row r="2402" spans="1:4">
      <c r="A2402" t="s">
        <v>8469</v>
      </c>
      <c r="B2402">
        <v>30562</v>
      </c>
      <c r="C2402" t="s">
        <v>8470</v>
      </c>
      <c r="D2402" t="s">
        <v>6245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8471</v>
      </c>
      <c r="B2405">
        <v>21798</v>
      </c>
      <c r="C2405" t="s">
        <v>8472</v>
      </c>
      <c r="D2405" t="s">
        <v>6168</v>
      </c>
    </row>
    <row r="2406" spans="1:4">
      <c r="A2406" t="s">
        <v>8473</v>
      </c>
      <c r="B2406">
        <v>21799</v>
      </c>
      <c r="C2406" t="s">
        <v>7145</v>
      </c>
      <c r="D2406" t="s">
        <v>6168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8474</v>
      </c>
      <c r="B2408">
        <v>35399</v>
      </c>
      <c r="C2408" t="s">
        <v>8475</v>
      </c>
      <c r="D2408" t="s">
        <v>6168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8476</v>
      </c>
      <c r="B2411">
        <v>30235</v>
      </c>
      <c r="C2411" t="s">
        <v>8477</v>
      </c>
      <c r="D2411" t="s">
        <v>6168</v>
      </c>
    </row>
    <row r="2412" spans="1:4">
      <c r="A2412" t="s">
        <v>8478</v>
      </c>
      <c r="B2412">
        <v>26386</v>
      </c>
      <c r="C2412" t="s">
        <v>6851</v>
      </c>
      <c r="D2412" t="s">
        <v>6168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8479</v>
      </c>
      <c r="B2417">
        <v>35652</v>
      </c>
      <c r="C2417" t="s">
        <v>8480</v>
      </c>
      <c r="D2417" t="s">
        <v>6168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8481</v>
      </c>
      <c r="B2419">
        <v>30236</v>
      </c>
      <c r="C2419" t="s">
        <v>8482</v>
      </c>
      <c r="D2419" t="s">
        <v>6168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8483</v>
      </c>
      <c r="B2421">
        <v>43446</v>
      </c>
      <c r="C2421" t="s">
        <v>8484</v>
      </c>
      <c r="D2421" t="s">
        <v>6168</v>
      </c>
    </row>
    <row r="2422" spans="1:4">
      <c r="A2422" t="s">
        <v>16828</v>
      </c>
      <c r="B2422">
        <v>43864</v>
      </c>
      <c r="C2422" t="s">
        <v>16829</v>
      </c>
      <c r="D2422" t="s">
        <v>123</v>
      </c>
    </row>
    <row r="2423" spans="1:4">
      <c r="A2423" t="s">
        <v>16823</v>
      </c>
      <c r="B2423">
        <v>43866</v>
      </c>
      <c r="C2423" t="s">
        <v>16824</v>
      </c>
      <c r="D2423" t="s">
        <v>6168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8485</v>
      </c>
      <c r="B2425">
        <v>3904</v>
      </c>
      <c r="C2425" t="s">
        <v>8486</v>
      </c>
      <c r="D2425" t="s">
        <v>6168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8487</v>
      </c>
      <c r="B2427">
        <v>9813</v>
      </c>
      <c r="D2427" t="s">
        <v>6267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8488</v>
      </c>
      <c r="B2430">
        <v>29709</v>
      </c>
      <c r="C2430" t="s">
        <v>8489</v>
      </c>
      <c r="D2430" t="s">
        <v>6168</v>
      </c>
    </row>
    <row r="2431" spans="1:4">
      <c r="A2431" t="s">
        <v>8490</v>
      </c>
      <c r="B2431">
        <v>40554</v>
      </c>
      <c r="C2431" t="s">
        <v>7781</v>
      </c>
      <c r="D2431" t="s">
        <v>6245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8491</v>
      </c>
      <c r="B2434">
        <v>4602</v>
      </c>
      <c r="C2434" t="s">
        <v>8492</v>
      </c>
      <c r="D2434" t="s">
        <v>6168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8493</v>
      </c>
      <c r="B2436">
        <v>23271</v>
      </c>
      <c r="D2436" t="s">
        <v>6605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16712</v>
      </c>
      <c r="B2438">
        <v>43301</v>
      </c>
      <c r="C2438" t="s">
        <v>16713</v>
      </c>
      <c r="D2438" t="s">
        <v>6168</v>
      </c>
    </row>
    <row r="2439" spans="1:4">
      <c r="A2439" t="s">
        <v>8494</v>
      </c>
      <c r="B2439">
        <v>25739</v>
      </c>
      <c r="D2439" t="s">
        <v>6168</v>
      </c>
    </row>
    <row r="2440" spans="1:4">
      <c r="A2440" t="s">
        <v>8495</v>
      </c>
      <c r="B2440">
        <v>10221</v>
      </c>
      <c r="C2440" t="s">
        <v>8496</v>
      </c>
      <c r="D2440" t="s">
        <v>6168</v>
      </c>
    </row>
    <row r="2441" spans="1:4">
      <c r="A2441" t="s">
        <v>16710</v>
      </c>
      <c r="B2441">
        <v>43300</v>
      </c>
      <c r="C2441" t="s">
        <v>16711</v>
      </c>
      <c r="D2441" t="s">
        <v>6168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8497</v>
      </c>
      <c r="B2443">
        <v>20486</v>
      </c>
      <c r="C2443" t="s">
        <v>6617</v>
      </c>
      <c r="D2443" t="s">
        <v>6168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8498</v>
      </c>
      <c r="B2445">
        <v>388</v>
      </c>
      <c r="C2445" t="s">
        <v>6533</v>
      </c>
      <c r="D2445" t="s">
        <v>6168</v>
      </c>
    </row>
    <row r="2446" spans="1:4">
      <c r="A2446" t="s">
        <v>8499</v>
      </c>
      <c r="B2446">
        <v>389</v>
      </c>
      <c r="C2446" t="s">
        <v>7451</v>
      </c>
      <c r="D2446" t="s">
        <v>6168</v>
      </c>
    </row>
    <row r="2447" spans="1:4">
      <c r="A2447" t="s">
        <v>16787</v>
      </c>
      <c r="B2447">
        <v>43347</v>
      </c>
      <c r="C2447" t="s">
        <v>16788</v>
      </c>
      <c r="D2447" t="s">
        <v>6168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8500</v>
      </c>
      <c r="B2449">
        <v>32520</v>
      </c>
      <c r="C2449" t="s">
        <v>8501</v>
      </c>
      <c r="D2449" t="s">
        <v>6168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8502</v>
      </c>
      <c r="B2451">
        <v>40951</v>
      </c>
      <c r="C2451" t="s">
        <v>8503</v>
      </c>
      <c r="D2451" t="s">
        <v>6168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8504</v>
      </c>
      <c r="B2454">
        <v>29576</v>
      </c>
      <c r="C2454" t="s">
        <v>7218</v>
      </c>
      <c r="D2454" t="s">
        <v>6168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8505</v>
      </c>
      <c r="B2456">
        <v>24585</v>
      </c>
      <c r="C2456" t="s">
        <v>7218</v>
      </c>
      <c r="D2456" t="s">
        <v>6168</v>
      </c>
    </row>
    <row r="2457" spans="1:4">
      <c r="A2457" t="s">
        <v>8506</v>
      </c>
      <c r="B2457">
        <v>29335</v>
      </c>
      <c r="C2457" t="s">
        <v>6724</v>
      </c>
      <c r="D2457" t="s">
        <v>6168</v>
      </c>
    </row>
    <row r="2458" spans="1:4">
      <c r="A2458" t="s">
        <v>8507</v>
      </c>
      <c r="B2458">
        <v>33919</v>
      </c>
      <c r="C2458" t="s">
        <v>8508</v>
      </c>
      <c r="D2458" t="s">
        <v>6168</v>
      </c>
    </row>
    <row r="2459" spans="1:4">
      <c r="A2459" t="s">
        <v>8509</v>
      </c>
      <c r="B2459">
        <v>24586</v>
      </c>
      <c r="C2459" t="s">
        <v>2924</v>
      </c>
      <c r="D2459" t="s">
        <v>6168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8510</v>
      </c>
      <c r="B2461">
        <v>42746</v>
      </c>
      <c r="C2461" t="s">
        <v>7772</v>
      </c>
      <c r="D2461" t="s">
        <v>6168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8511</v>
      </c>
      <c r="B2463">
        <v>25101</v>
      </c>
      <c r="C2463" t="s">
        <v>8512</v>
      </c>
      <c r="D2463" t="s">
        <v>6230</v>
      </c>
    </row>
    <row r="2464" spans="1:4">
      <c r="A2464" t="s">
        <v>8513</v>
      </c>
      <c r="B2464">
        <v>24587</v>
      </c>
      <c r="C2464" t="s">
        <v>2530</v>
      </c>
      <c r="D2464" t="s">
        <v>6245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8514</v>
      </c>
      <c r="B2467">
        <v>3800</v>
      </c>
      <c r="C2467" t="s">
        <v>8515</v>
      </c>
      <c r="D2467" t="s">
        <v>6168</v>
      </c>
    </row>
    <row r="2468" spans="1:4">
      <c r="A2468" t="s">
        <v>8516</v>
      </c>
      <c r="B2468">
        <v>3801</v>
      </c>
      <c r="C2468" t="s">
        <v>2781</v>
      </c>
      <c r="D2468" t="s">
        <v>6168</v>
      </c>
    </row>
    <row r="2469" spans="1:4">
      <c r="A2469" t="s">
        <v>8517</v>
      </c>
      <c r="B2469">
        <v>30717</v>
      </c>
      <c r="C2469" t="s">
        <v>8518</v>
      </c>
      <c r="D2469" t="s">
        <v>6267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8519</v>
      </c>
      <c r="B2471">
        <v>23663</v>
      </c>
      <c r="C2471" t="s">
        <v>6219</v>
      </c>
      <c r="D2471" t="s">
        <v>6168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8520</v>
      </c>
      <c r="B2473">
        <v>42408</v>
      </c>
      <c r="C2473" t="s">
        <v>8521</v>
      </c>
      <c r="D2473" t="s">
        <v>6305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8522</v>
      </c>
      <c r="B2475">
        <v>1075</v>
      </c>
      <c r="D2475" t="s">
        <v>6872</v>
      </c>
    </row>
    <row r="2476" spans="1:4">
      <c r="A2476" t="s">
        <v>17386</v>
      </c>
      <c r="B2476">
        <v>45480</v>
      </c>
      <c r="C2476" t="s">
        <v>16703</v>
      </c>
      <c r="D2476" t="s">
        <v>123</v>
      </c>
    </row>
    <row r="2477" spans="1:4">
      <c r="A2477" t="s">
        <v>17437</v>
      </c>
      <c r="B2477">
        <v>45727</v>
      </c>
      <c r="C2477" t="s">
        <v>17438</v>
      </c>
      <c r="D2477" t="s">
        <v>6168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8523</v>
      </c>
      <c r="B2481">
        <v>34962</v>
      </c>
      <c r="C2481" t="s">
        <v>8524</v>
      </c>
      <c r="D2481" t="s">
        <v>6241</v>
      </c>
    </row>
    <row r="2482" spans="1:4">
      <c r="A2482" t="s">
        <v>8525</v>
      </c>
      <c r="B2482">
        <v>35605</v>
      </c>
      <c r="C2482" t="s">
        <v>8526</v>
      </c>
      <c r="D2482" t="s">
        <v>6314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8527</v>
      </c>
      <c r="B2484">
        <v>25309</v>
      </c>
      <c r="C2484" t="s">
        <v>8528</v>
      </c>
      <c r="D2484" t="s">
        <v>6168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8529</v>
      </c>
      <c r="B2486">
        <v>21801</v>
      </c>
      <c r="C2486" t="s">
        <v>4950</v>
      </c>
      <c r="D2486" t="s">
        <v>6168</v>
      </c>
    </row>
    <row r="2487" spans="1:4">
      <c r="A2487" t="s">
        <v>8530</v>
      </c>
      <c r="B2487">
        <v>39466</v>
      </c>
      <c r="C2487" t="s">
        <v>8531</v>
      </c>
      <c r="D2487" t="s">
        <v>6267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8532</v>
      </c>
      <c r="B2489">
        <v>30612</v>
      </c>
      <c r="C2489" t="s">
        <v>8533</v>
      </c>
      <c r="D2489" t="s">
        <v>6168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8534</v>
      </c>
      <c r="B2491">
        <v>2438</v>
      </c>
      <c r="D2491" t="s">
        <v>6168</v>
      </c>
    </row>
    <row r="2492" spans="1:4">
      <c r="A2492" t="s">
        <v>8535</v>
      </c>
      <c r="B2492">
        <v>2439</v>
      </c>
      <c r="C2492" t="s">
        <v>15666</v>
      </c>
      <c r="D2492" t="s">
        <v>6168</v>
      </c>
    </row>
    <row r="2493" spans="1:4">
      <c r="A2493" t="s">
        <v>8536</v>
      </c>
      <c r="B2493">
        <v>2441</v>
      </c>
      <c r="D2493" t="s">
        <v>6168</v>
      </c>
    </row>
    <row r="2494" spans="1:4">
      <c r="A2494" t="s">
        <v>8537</v>
      </c>
      <c r="B2494">
        <v>2440</v>
      </c>
      <c r="D2494" t="s">
        <v>6168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8538</v>
      </c>
      <c r="B2496">
        <v>43094</v>
      </c>
      <c r="C2496" t="s">
        <v>8539</v>
      </c>
      <c r="D2496" t="s">
        <v>6168</v>
      </c>
    </row>
    <row r="2497" spans="1:4">
      <c r="A2497" t="s">
        <v>8540</v>
      </c>
      <c r="B2497">
        <v>40551</v>
      </c>
      <c r="C2497" t="s">
        <v>8541</v>
      </c>
      <c r="D2497" t="s">
        <v>6168</v>
      </c>
    </row>
    <row r="2498" spans="1:4">
      <c r="A2498" t="s">
        <v>8542</v>
      </c>
      <c r="B2498">
        <v>43447</v>
      </c>
      <c r="C2498" t="s">
        <v>5950</v>
      </c>
      <c r="D2498" t="s">
        <v>123</v>
      </c>
    </row>
    <row r="2499" spans="1:4">
      <c r="A2499" t="s">
        <v>16841</v>
      </c>
      <c r="B2499">
        <v>43891</v>
      </c>
      <c r="C2499" t="s">
        <v>16842</v>
      </c>
      <c r="D2499" t="s">
        <v>6168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8543</v>
      </c>
      <c r="B2502">
        <v>41652</v>
      </c>
      <c r="C2502" t="s">
        <v>5857</v>
      </c>
      <c r="D2502" t="s">
        <v>6168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8544</v>
      </c>
      <c r="B2506">
        <v>32519</v>
      </c>
      <c r="C2506" t="s">
        <v>8545</v>
      </c>
      <c r="D2506" t="s">
        <v>6168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8546</v>
      </c>
      <c r="B2508">
        <v>2620</v>
      </c>
      <c r="C2508" t="s">
        <v>7688</v>
      </c>
      <c r="D2508" t="s">
        <v>6168</v>
      </c>
    </row>
    <row r="2509" spans="1:4">
      <c r="A2509" t="s">
        <v>8547</v>
      </c>
      <c r="B2509">
        <v>2619</v>
      </c>
      <c r="C2509" t="s">
        <v>7933</v>
      </c>
      <c r="D2509" t="s">
        <v>6168</v>
      </c>
    </row>
    <row r="2510" spans="1:4">
      <c r="A2510" t="s">
        <v>8548</v>
      </c>
      <c r="B2510">
        <v>2621</v>
      </c>
      <c r="C2510" t="s">
        <v>1675</v>
      </c>
      <c r="D2510" t="s">
        <v>6168</v>
      </c>
    </row>
    <row r="2511" spans="1:4">
      <c r="A2511" t="s">
        <v>8549</v>
      </c>
      <c r="B2511">
        <v>2622</v>
      </c>
      <c r="C2511" t="s">
        <v>1675</v>
      </c>
      <c r="D2511" t="s">
        <v>6168</v>
      </c>
    </row>
    <row r="2512" spans="1:4">
      <c r="A2512" t="s">
        <v>8550</v>
      </c>
      <c r="B2512">
        <v>2623</v>
      </c>
      <c r="C2512" t="s">
        <v>8551</v>
      </c>
      <c r="D2512" t="s">
        <v>6168</v>
      </c>
    </row>
    <row r="2513" spans="1:4">
      <c r="A2513" t="s">
        <v>8552</v>
      </c>
      <c r="B2513">
        <v>2624</v>
      </c>
      <c r="C2513" t="s">
        <v>4950</v>
      </c>
      <c r="D2513" t="s">
        <v>6168</v>
      </c>
    </row>
    <row r="2514" spans="1:4">
      <c r="A2514" t="s">
        <v>8553</v>
      </c>
      <c r="B2514">
        <v>2625</v>
      </c>
      <c r="C2514" t="s">
        <v>8554</v>
      </c>
      <c r="D2514" t="s">
        <v>6168</v>
      </c>
    </row>
    <row r="2515" spans="1:4">
      <c r="A2515" t="s">
        <v>8555</v>
      </c>
      <c r="B2515">
        <v>2626</v>
      </c>
      <c r="C2515" t="s">
        <v>7124</v>
      </c>
      <c r="D2515" t="s">
        <v>6168</v>
      </c>
    </row>
    <row r="2516" spans="1:4">
      <c r="A2516" t="s">
        <v>8556</v>
      </c>
      <c r="B2516">
        <v>38346</v>
      </c>
      <c r="D2516" t="s">
        <v>6168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8557</v>
      </c>
      <c r="B2518">
        <v>21802</v>
      </c>
      <c r="C2518" t="s">
        <v>1547</v>
      </c>
      <c r="D2518" t="s">
        <v>6267</v>
      </c>
    </row>
    <row r="2519" spans="1:4">
      <c r="A2519" t="s">
        <v>8558</v>
      </c>
      <c r="B2519">
        <v>21803</v>
      </c>
      <c r="D2519" t="s">
        <v>6314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8559</v>
      </c>
      <c r="B2522">
        <v>20367</v>
      </c>
      <c r="C2522" t="s">
        <v>8560</v>
      </c>
      <c r="D2522" t="s">
        <v>6168</v>
      </c>
    </row>
    <row r="2523" spans="1:4">
      <c r="A2523" t="s">
        <v>8561</v>
      </c>
      <c r="B2523">
        <v>10231</v>
      </c>
      <c r="C2523" t="s">
        <v>8562</v>
      </c>
      <c r="D2523" t="s">
        <v>6168</v>
      </c>
    </row>
    <row r="2524" spans="1:4">
      <c r="A2524" t="s">
        <v>8563</v>
      </c>
      <c r="B2524">
        <v>20368</v>
      </c>
      <c r="C2524" t="s">
        <v>8564</v>
      </c>
      <c r="D2524" t="s">
        <v>6168</v>
      </c>
    </row>
    <row r="2525" spans="1:4">
      <c r="A2525" t="s">
        <v>8565</v>
      </c>
      <c r="B2525">
        <v>10232</v>
      </c>
      <c r="C2525" t="s">
        <v>6282</v>
      </c>
      <c r="D2525" t="s">
        <v>6168</v>
      </c>
    </row>
    <row r="2526" spans="1:4">
      <c r="A2526" t="s">
        <v>8566</v>
      </c>
      <c r="B2526">
        <v>4078</v>
      </c>
      <c r="C2526" t="s">
        <v>8567</v>
      </c>
      <c r="D2526" t="s">
        <v>6241</v>
      </c>
    </row>
    <row r="2527" spans="1:4">
      <c r="A2527" t="s">
        <v>8568</v>
      </c>
      <c r="B2527">
        <v>511</v>
      </c>
      <c r="C2527" t="s">
        <v>8569</v>
      </c>
      <c r="D2527" t="s">
        <v>6245</v>
      </c>
    </row>
    <row r="2528" spans="1:4">
      <c r="A2528" t="s">
        <v>8570</v>
      </c>
      <c r="B2528">
        <v>21804</v>
      </c>
      <c r="C2528" t="s">
        <v>8571</v>
      </c>
      <c r="D2528" t="s">
        <v>6243</v>
      </c>
    </row>
    <row r="2529" spans="1:4">
      <c r="A2529" t="s">
        <v>8572</v>
      </c>
      <c r="B2529">
        <v>1088</v>
      </c>
      <c r="C2529" t="s">
        <v>8573</v>
      </c>
      <c r="D2529" t="s">
        <v>6245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8574</v>
      </c>
      <c r="B2531">
        <v>43601</v>
      </c>
      <c r="C2531" t="s">
        <v>8575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8576</v>
      </c>
      <c r="B2534">
        <v>29866</v>
      </c>
      <c r="C2534" t="s">
        <v>3562</v>
      </c>
      <c r="D2534" t="s">
        <v>6168</v>
      </c>
    </row>
    <row r="2535" spans="1:4">
      <c r="A2535" t="s">
        <v>17439</v>
      </c>
      <c r="B2535">
        <v>45729</v>
      </c>
      <c r="C2535" t="s">
        <v>5872</v>
      </c>
      <c r="D2535" t="s">
        <v>123</v>
      </c>
    </row>
    <row r="2536" spans="1:4">
      <c r="A2536" t="s">
        <v>17510</v>
      </c>
      <c r="B2536">
        <v>45931</v>
      </c>
      <c r="C2536" t="s">
        <v>17511</v>
      </c>
      <c r="D2536" t="s">
        <v>6168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8577</v>
      </c>
      <c r="B2541">
        <v>2508</v>
      </c>
      <c r="C2541" t="s">
        <v>4950</v>
      </c>
      <c r="D2541" t="s">
        <v>6168</v>
      </c>
    </row>
    <row r="2542" spans="1:4">
      <c r="A2542" t="s">
        <v>8578</v>
      </c>
      <c r="B2542">
        <v>2395</v>
      </c>
      <c r="C2542" t="s">
        <v>258</v>
      </c>
      <c r="D2542" t="s">
        <v>6267</v>
      </c>
    </row>
    <row r="2543" spans="1:4">
      <c r="A2543" t="s">
        <v>8579</v>
      </c>
      <c r="B2543">
        <v>20576</v>
      </c>
      <c r="C2543" t="s">
        <v>258</v>
      </c>
      <c r="D2543" t="s">
        <v>6305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8580</v>
      </c>
      <c r="B2545">
        <v>30640</v>
      </c>
      <c r="C2545" t="s">
        <v>6194</v>
      </c>
      <c r="D2545" t="s">
        <v>6168</v>
      </c>
    </row>
    <row r="2546" spans="1:4">
      <c r="A2546" t="s">
        <v>17200</v>
      </c>
      <c r="B2546">
        <v>44554</v>
      </c>
      <c r="C2546" t="s">
        <v>17201</v>
      </c>
      <c r="D2546" t="s">
        <v>6267</v>
      </c>
    </row>
    <row r="2547" spans="1:4">
      <c r="A2547" t="s">
        <v>8581</v>
      </c>
      <c r="B2547">
        <v>29783</v>
      </c>
      <c r="D2547" t="s">
        <v>6245</v>
      </c>
    </row>
    <row r="2548" spans="1:4">
      <c r="A2548" t="s">
        <v>17199</v>
      </c>
      <c r="B2548">
        <v>44553</v>
      </c>
      <c r="C2548" t="s">
        <v>2369</v>
      </c>
      <c r="D2548" t="s">
        <v>134</v>
      </c>
    </row>
    <row r="2549" spans="1:4">
      <c r="A2549" t="s">
        <v>17198</v>
      </c>
      <c r="B2549">
        <v>44552</v>
      </c>
      <c r="C2549" t="s">
        <v>2369</v>
      </c>
      <c r="D2549" t="s">
        <v>6314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8582</v>
      </c>
      <c r="B2552">
        <v>21807</v>
      </c>
      <c r="C2552" t="s">
        <v>776</v>
      </c>
      <c r="D2552" t="s">
        <v>6168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8583</v>
      </c>
      <c r="B2555">
        <v>33921</v>
      </c>
      <c r="D2555" t="s">
        <v>6267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8584</v>
      </c>
      <c r="B2557">
        <v>23284</v>
      </c>
      <c r="C2557" t="s">
        <v>8585</v>
      </c>
      <c r="D2557" t="s">
        <v>7283</v>
      </c>
    </row>
    <row r="2558" spans="1:4">
      <c r="A2558" t="s">
        <v>8586</v>
      </c>
      <c r="B2558">
        <v>3126</v>
      </c>
      <c r="D2558" t="s">
        <v>6245</v>
      </c>
    </row>
    <row r="2559" spans="1:4">
      <c r="A2559" t="s">
        <v>8587</v>
      </c>
      <c r="B2559">
        <v>21808</v>
      </c>
      <c r="D2559" t="s">
        <v>6243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8588</v>
      </c>
      <c r="B2561">
        <v>1049</v>
      </c>
      <c r="C2561" t="s">
        <v>8589</v>
      </c>
      <c r="D2561" t="s">
        <v>6168</v>
      </c>
    </row>
    <row r="2562" spans="1:4">
      <c r="A2562" t="s">
        <v>8590</v>
      </c>
      <c r="B2562">
        <v>19286</v>
      </c>
      <c r="C2562" t="s">
        <v>8591</v>
      </c>
      <c r="D2562" t="s">
        <v>6168</v>
      </c>
    </row>
    <row r="2563" spans="1:4">
      <c r="A2563" t="s">
        <v>8592</v>
      </c>
      <c r="B2563">
        <v>23279</v>
      </c>
      <c r="C2563" t="s">
        <v>8593</v>
      </c>
      <c r="D2563" t="s">
        <v>6230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8594</v>
      </c>
      <c r="B2566">
        <v>29425</v>
      </c>
      <c r="C2566" t="s">
        <v>6317</v>
      </c>
      <c r="D2566" t="s">
        <v>6168</v>
      </c>
    </row>
    <row r="2567" spans="1:4">
      <c r="A2567" t="s">
        <v>8595</v>
      </c>
      <c r="B2567">
        <v>21810</v>
      </c>
      <c r="C2567" t="s">
        <v>264</v>
      </c>
      <c r="D2567" t="s">
        <v>6314</v>
      </c>
    </row>
    <row r="2568" spans="1:4">
      <c r="A2568" t="s">
        <v>8596</v>
      </c>
      <c r="B2568">
        <v>43449</v>
      </c>
      <c r="C2568" t="s">
        <v>3371</v>
      </c>
      <c r="D2568" t="s">
        <v>123</v>
      </c>
    </row>
    <row r="2569" spans="1:4">
      <c r="A2569" t="s">
        <v>16843</v>
      </c>
      <c r="B2569">
        <v>43893</v>
      </c>
      <c r="C2569" t="s">
        <v>6219</v>
      </c>
      <c r="D2569" t="s">
        <v>6168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8597</v>
      </c>
      <c r="B2572">
        <v>43169</v>
      </c>
      <c r="C2572" t="s">
        <v>8598</v>
      </c>
      <c r="D2572" t="s">
        <v>6168</v>
      </c>
    </row>
    <row r="2573" spans="1:4">
      <c r="A2573" t="s">
        <v>8599</v>
      </c>
      <c r="B2573">
        <v>23132</v>
      </c>
      <c r="D2573" t="s">
        <v>6230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8600</v>
      </c>
      <c r="B2575">
        <v>21812</v>
      </c>
      <c r="C2575" t="s">
        <v>8601</v>
      </c>
      <c r="D2575" t="s">
        <v>6168</v>
      </c>
    </row>
    <row r="2576" spans="1:4">
      <c r="A2576" t="s">
        <v>8602</v>
      </c>
      <c r="B2576">
        <v>21813</v>
      </c>
      <c r="C2576" t="s">
        <v>8603</v>
      </c>
      <c r="D2576" t="s">
        <v>6168</v>
      </c>
    </row>
    <row r="2577" spans="1:4">
      <c r="A2577" t="s">
        <v>8604</v>
      </c>
      <c r="B2577">
        <v>27363</v>
      </c>
      <c r="C2577" t="s">
        <v>8605</v>
      </c>
      <c r="D2577" t="s">
        <v>6168</v>
      </c>
    </row>
    <row r="2578" spans="1:4">
      <c r="A2578" t="s">
        <v>8606</v>
      </c>
      <c r="B2578">
        <v>21814</v>
      </c>
      <c r="C2578" t="s">
        <v>8607</v>
      </c>
      <c r="D2578" t="s">
        <v>6168</v>
      </c>
    </row>
    <row r="2579" spans="1:4">
      <c r="A2579" t="s">
        <v>8608</v>
      </c>
      <c r="B2579">
        <v>21815</v>
      </c>
      <c r="C2579" t="s">
        <v>8609</v>
      </c>
      <c r="D2579" t="s">
        <v>6168</v>
      </c>
    </row>
    <row r="2580" spans="1:4">
      <c r="A2580" t="s">
        <v>8610</v>
      </c>
      <c r="B2580">
        <v>21816</v>
      </c>
      <c r="C2580" t="s">
        <v>8611</v>
      </c>
      <c r="D2580" t="s">
        <v>6168</v>
      </c>
    </row>
    <row r="2581" spans="1:4">
      <c r="A2581" t="s">
        <v>8612</v>
      </c>
      <c r="B2581">
        <v>21817</v>
      </c>
      <c r="C2581" t="s">
        <v>8611</v>
      </c>
      <c r="D2581" t="s">
        <v>6168</v>
      </c>
    </row>
    <row r="2582" spans="1:4">
      <c r="A2582" t="s">
        <v>8613</v>
      </c>
      <c r="B2582">
        <v>27362</v>
      </c>
      <c r="C2582" t="s">
        <v>8614</v>
      </c>
      <c r="D2582" t="s">
        <v>6168</v>
      </c>
    </row>
    <row r="2583" spans="1:4">
      <c r="A2583" t="s">
        <v>8615</v>
      </c>
      <c r="B2583">
        <v>21818</v>
      </c>
      <c r="C2583" t="s">
        <v>8616</v>
      </c>
      <c r="D2583" t="s">
        <v>6168</v>
      </c>
    </row>
    <row r="2584" spans="1:4">
      <c r="A2584" t="s">
        <v>8617</v>
      </c>
      <c r="B2584">
        <v>21819</v>
      </c>
      <c r="C2584" t="s">
        <v>8618</v>
      </c>
      <c r="D2584" t="s">
        <v>6168</v>
      </c>
    </row>
    <row r="2585" spans="1:4">
      <c r="A2585" t="s">
        <v>8619</v>
      </c>
      <c r="B2585">
        <v>35295</v>
      </c>
      <c r="C2585" t="s">
        <v>8611</v>
      </c>
      <c r="D2585" t="s">
        <v>6168</v>
      </c>
    </row>
    <row r="2586" spans="1:4">
      <c r="A2586" t="s">
        <v>8620</v>
      </c>
      <c r="B2586">
        <v>21820</v>
      </c>
      <c r="C2586" t="s">
        <v>8621</v>
      </c>
      <c r="D2586" t="s">
        <v>6168</v>
      </c>
    </row>
    <row r="2587" spans="1:4">
      <c r="A2587" t="s">
        <v>8622</v>
      </c>
      <c r="B2587">
        <v>21821</v>
      </c>
      <c r="C2587" t="s">
        <v>8623</v>
      </c>
      <c r="D2587" t="s">
        <v>6168</v>
      </c>
    </row>
    <row r="2588" spans="1:4">
      <c r="A2588" t="s">
        <v>8624</v>
      </c>
      <c r="B2588">
        <v>21822</v>
      </c>
      <c r="C2588" t="s">
        <v>8312</v>
      </c>
      <c r="D2588" t="s">
        <v>6168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8625</v>
      </c>
      <c r="B2591">
        <v>5195</v>
      </c>
      <c r="C2591" t="s">
        <v>8626</v>
      </c>
      <c r="D2591" t="s">
        <v>6267</v>
      </c>
    </row>
    <row r="2592" spans="1:4">
      <c r="A2592" t="s">
        <v>8627</v>
      </c>
      <c r="B2592">
        <v>23139</v>
      </c>
      <c r="C2592" t="s">
        <v>8628</v>
      </c>
      <c r="D2592" t="s">
        <v>6305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8629</v>
      </c>
      <c r="B2594">
        <v>2501</v>
      </c>
      <c r="C2594" t="s">
        <v>8630</v>
      </c>
      <c r="D2594" t="s">
        <v>6168</v>
      </c>
    </row>
    <row r="2595" spans="1:4">
      <c r="A2595" t="s">
        <v>8631</v>
      </c>
      <c r="B2595">
        <v>3206</v>
      </c>
      <c r="D2595" t="s">
        <v>6241</v>
      </c>
    </row>
    <row r="2596" spans="1:4">
      <c r="A2596" t="s">
        <v>8632</v>
      </c>
      <c r="B2596">
        <v>10183</v>
      </c>
      <c r="D2596" t="s">
        <v>6168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8633</v>
      </c>
      <c r="B2598">
        <v>23259</v>
      </c>
      <c r="C2598" t="s">
        <v>8634</v>
      </c>
      <c r="D2598" t="s">
        <v>6245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8635</v>
      </c>
      <c r="B2602">
        <v>21823</v>
      </c>
      <c r="C2602" t="s">
        <v>8636</v>
      </c>
      <c r="D2602" t="s">
        <v>6267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8637</v>
      </c>
      <c r="B2604">
        <v>4223</v>
      </c>
      <c r="C2604" t="s">
        <v>6535</v>
      </c>
      <c r="D2604" t="s">
        <v>6168</v>
      </c>
    </row>
    <row r="2605" spans="1:4">
      <c r="A2605" t="s">
        <v>8638</v>
      </c>
      <c r="B2605">
        <v>4218</v>
      </c>
      <c r="C2605" t="s">
        <v>6535</v>
      </c>
      <c r="D2605" t="s">
        <v>6168</v>
      </c>
    </row>
    <row r="2606" spans="1:4">
      <c r="A2606" t="s">
        <v>8639</v>
      </c>
      <c r="B2606">
        <v>20618</v>
      </c>
      <c r="D2606" t="s">
        <v>6314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8640</v>
      </c>
      <c r="B2608">
        <v>21824</v>
      </c>
      <c r="C2608" t="s">
        <v>8641</v>
      </c>
      <c r="D2608" t="s">
        <v>6314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8642</v>
      </c>
      <c r="B2610">
        <v>25105</v>
      </c>
      <c r="C2610" t="s">
        <v>6583</v>
      </c>
      <c r="D2610" t="s">
        <v>6168</v>
      </c>
    </row>
    <row r="2611" spans="1:4">
      <c r="A2611" t="s">
        <v>8643</v>
      </c>
      <c r="B2611">
        <v>29213</v>
      </c>
      <c r="C2611" t="s">
        <v>767</v>
      </c>
      <c r="D2611" t="s">
        <v>6168</v>
      </c>
    </row>
    <row r="2612" spans="1:4">
      <c r="A2612" t="s">
        <v>8644</v>
      </c>
      <c r="B2612">
        <v>40550</v>
      </c>
      <c r="C2612" t="s">
        <v>1079</v>
      </c>
      <c r="D2612" t="s">
        <v>6168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8645</v>
      </c>
      <c r="B2615">
        <v>689</v>
      </c>
      <c r="C2615" t="s">
        <v>8646</v>
      </c>
      <c r="D2615" t="s">
        <v>6168</v>
      </c>
    </row>
    <row r="2616" spans="1:4">
      <c r="A2616" t="s">
        <v>8647</v>
      </c>
      <c r="B2616">
        <v>688</v>
      </c>
      <c r="C2616" t="s">
        <v>8648</v>
      </c>
      <c r="D2616" t="s">
        <v>6168</v>
      </c>
    </row>
    <row r="2617" spans="1:4">
      <c r="A2617" t="s">
        <v>8649</v>
      </c>
      <c r="B2617">
        <v>5247</v>
      </c>
      <c r="C2617" t="s">
        <v>8650</v>
      </c>
      <c r="D2617" t="s">
        <v>6449</v>
      </c>
    </row>
    <row r="2618" spans="1:4">
      <c r="A2618" t="s">
        <v>8651</v>
      </c>
      <c r="B2618">
        <v>31121</v>
      </c>
      <c r="C2618" t="s">
        <v>8648</v>
      </c>
      <c r="D2618" t="s">
        <v>6168</v>
      </c>
    </row>
    <row r="2619" spans="1:4">
      <c r="A2619" t="s">
        <v>8652</v>
      </c>
      <c r="B2619">
        <v>2650</v>
      </c>
      <c r="C2619" t="s">
        <v>8653</v>
      </c>
      <c r="D2619" t="s">
        <v>6449</v>
      </c>
    </row>
    <row r="2620" spans="1:4">
      <c r="A2620" t="s">
        <v>8654</v>
      </c>
      <c r="B2620">
        <v>3179</v>
      </c>
      <c r="C2620" t="s">
        <v>8655</v>
      </c>
      <c r="D2620" t="s">
        <v>6168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8656</v>
      </c>
      <c r="B2622">
        <v>43159</v>
      </c>
      <c r="D2622" t="s">
        <v>6314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8657</v>
      </c>
      <c r="B2624">
        <v>2658</v>
      </c>
      <c r="C2624" t="s">
        <v>4950</v>
      </c>
      <c r="D2624" t="s">
        <v>6168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8658</v>
      </c>
      <c r="B2626">
        <v>21825</v>
      </c>
      <c r="C2626" t="s">
        <v>1547</v>
      </c>
      <c r="D2626" t="s">
        <v>6267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8659</v>
      </c>
      <c r="B2628">
        <v>3083</v>
      </c>
      <c r="C2628" t="s">
        <v>8660</v>
      </c>
      <c r="D2628" t="s">
        <v>6168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8661</v>
      </c>
      <c r="B2630">
        <v>21827</v>
      </c>
      <c r="C2630" t="s">
        <v>8662</v>
      </c>
      <c r="D2630" t="s">
        <v>6168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8663</v>
      </c>
      <c r="B2632">
        <v>2687</v>
      </c>
      <c r="C2632" t="s">
        <v>2652</v>
      </c>
      <c r="D2632" t="s">
        <v>6168</v>
      </c>
    </row>
    <row r="2633" spans="1:4">
      <c r="A2633" t="s">
        <v>8664</v>
      </c>
      <c r="B2633">
        <v>2688</v>
      </c>
      <c r="C2633" t="s">
        <v>8665</v>
      </c>
      <c r="D2633" t="s">
        <v>6168</v>
      </c>
    </row>
    <row r="2634" spans="1:4">
      <c r="A2634" t="s">
        <v>8666</v>
      </c>
      <c r="B2634">
        <v>2689</v>
      </c>
      <c r="C2634" t="s">
        <v>8667</v>
      </c>
      <c r="D2634" t="s">
        <v>6168</v>
      </c>
    </row>
    <row r="2635" spans="1:4">
      <c r="A2635" t="s">
        <v>8668</v>
      </c>
      <c r="B2635">
        <v>2690</v>
      </c>
      <c r="C2635" t="s">
        <v>8669</v>
      </c>
      <c r="D2635" t="s">
        <v>6168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8670</v>
      </c>
      <c r="B2637">
        <v>5196</v>
      </c>
      <c r="D2637" t="s">
        <v>6267</v>
      </c>
    </row>
    <row r="2638" spans="1:4">
      <c r="A2638" t="s">
        <v>8671</v>
      </c>
      <c r="B2638">
        <v>41550</v>
      </c>
      <c r="C2638" t="s">
        <v>409</v>
      </c>
      <c r="D2638" t="s">
        <v>6305</v>
      </c>
    </row>
    <row r="2639" spans="1:4">
      <c r="A2639" t="s">
        <v>8672</v>
      </c>
      <c r="B2639">
        <v>21828</v>
      </c>
      <c r="D2639" t="s">
        <v>6314</v>
      </c>
    </row>
    <row r="2640" spans="1:4">
      <c r="A2640" t="s">
        <v>8673</v>
      </c>
      <c r="B2640">
        <v>31776</v>
      </c>
      <c r="C2640" t="s">
        <v>8674</v>
      </c>
      <c r="D2640" t="s">
        <v>6168</v>
      </c>
    </row>
    <row r="2641" spans="1:4">
      <c r="A2641" t="s">
        <v>8675</v>
      </c>
      <c r="B2641">
        <v>31236</v>
      </c>
      <c r="C2641" t="s">
        <v>148</v>
      </c>
      <c r="D2641" t="s">
        <v>6292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8676</v>
      </c>
      <c r="B2643">
        <v>31190</v>
      </c>
      <c r="C2643" t="s">
        <v>148</v>
      </c>
      <c r="D2643" t="s">
        <v>6230</v>
      </c>
    </row>
    <row r="2644" spans="1:4">
      <c r="A2644" t="s">
        <v>8677</v>
      </c>
      <c r="B2644">
        <v>39790</v>
      </c>
      <c r="C2644" t="s">
        <v>8048</v>
      </c>
      <c r="D2644" t="s">
        <v>8049</v>
      </c>
    </row>
    <row r="2645" spans="1:4">
      <c r="A2645" t="s">
        <v>8678</v>
      </c>
      <c r="B2645">
        <v>24596</v>
      </c>
      <c r="C2645" t="s">
        <v>148</v>
      </c>
      <c r="D2645" t="s">
        <v>6267</v>
      </c>
    </row>
    <row r="2646" spans="1:4">
      <c r="A2646" t="s">
        <v>8679</v>
      </c>
      <c r="B2646">
        <v>25107</v>
      </c>
      <c r="C2646" t="s">
        <v>148</v>
      </c>
      <c r="D2646" t="s">
        <v>6305</v>
      </c>
    </row>
    <row r="2647" spans="1:4">
      <c r="A2647" t="s">
        <v>8680</v>
      </c>
      <c r="B2647">
        <v>32504</v>
      </c>
      <c r="C2647" t="s">
        <v>148</v>
      </c>
      <c r="D2647" t="s">
        <v>6314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8681</v>
      </c>
      <c r="B2649">
        <v>22906</v>
      </c>
      <c r="C2649" t="s">
        <v>2809</v>
      </c>
      <c r="D2649" t="s">
        <v>6168</v>
      </c>
    </row>
    <row r="2650" spans="1:4">
      <c r="A2650" t="s">
        <v>8682</v>
      </c>
      <c r="B2650">
        <v>26384</v>
      </c>
      <c r="C2650" t="s">
        <v>8683</v>
      </c>
      <c r="D2650" t="s">
        <v>6168</v>
      </c>
    </row>
    <row r="2651" spans="1:4">
      <c r="A2651" t="s">
        <v>8684</v>
      </c>
      <c r="B2651">
        <v>31154</v>
      </c>
      <c r="C2651" t="s">
        <v>8683</v>
      </c>
      <c r="D2651" t="s">
        <v>6168</v>
      </c>
    </row>
    <row r="2652" spans="1:4">
      <c r="A2652" t="s">
        <v>8685</v>
      </c>
      <c r="B2652">
        <v>22907</v>
      </c>
      <c r="C2652" t="s">
        <v>8686</v>
      </c>
      <c r="D2652" t="s">
        <v>6168</v>
      </c>
    </row>
    <row r="2653" spans="1:4">
      <c r="A2653" t="s">
        <v>8687</v>
      </c>
      <c r="B2653">
        <v>24095</v>
      </c>
      <c r="C2653" t="s">
        <v>7039</v>
      </c>
      <c r="D2653" t="s">
        <v>6168</v>
      </c>
    </row>
    <row r="2654" spans="1:4">
      <c r="A2654" t="s">
        <v>8688</v>
      </c>
      <c r="B2654">
        <v>22908</v>
      </c>
      <c r="C2654" t="s">
        <v>2972</v>
      </c>
      <c r="D2654" t="s">
        <v>6168</v>
      </c>
    </row>
    <row r="2655" spans="1:4">
      <c r="A2655" t="s">
        <v>8689</v>
      </c>
      <c r="B2655">
        <v>3213</v>
      </c>
      <c r="C2655" t="s">
        <v>1089</v>
      </c>
      <c r="D2655" t="s">
        <v>6168</v>
      </c>
    </row>
    <row r="2656" spans="1:4">
      <c r="A2656" t="s">
        <v>8690</v>
      </c>
      <c r="B2656">
        <v>22909</v>
      </c>
      <c r="C2656" t="s">
        <v>8686</v>
      </c>
      <c r="D2656" t="s">
        <v>6168</v>
      </c>
    </row>
    <row r="2657" spans="1:4">
      <c r="A2657" t="s">
        <v>8691</v>
      </c>
      <c r="B2657">
        <v>35746</v>
      </c>
      <c r="C2657" t="s">
        <v>8692</v>
      </c>
      <c r="D2657" t="s">
        <v>6168</v>
      </c>
    </row>
    <row r="2658" spans="1:4">
      <c r="A2658" t="s">
        <v>8693</v>
      </c>
      <c r="B2658">
        <v>23319</v>
      </c>
      <c r="C2658" t="s">
        <v>8694</v>
      </c>
      <c r="D2658" t="s">
        <v>6168</v>
      </c>
    </row>
    <row r="2659" spans="1:4">
      <c r="A2659" t="s">
        <v>8695</v>
      </c>
      <c r="B2659">
        <v>22910</v>
      </c>
      <c r="C2659" t="s">
        <v>8696</v>
      </c>
      <c r="D2659" t="s">
        <v>6168</v>
      </c>
    </row>
    <row r="2660" spans="1:4">
      <c r="A2660" t="s">
        <v>8697</v>
      </c>
      <c r="B2660">
        <v>21528</v>
      </c>
      <c r="C2660" t="s">
        <v>1089</v>
      </c>
      <c r="D2660" t="s">
        <v>6168</v>
      </c>
    </row>
    <row r="2661" spans="1:4">
      <c r="A2661" t="s">
        <v>8698</v>
      </c>
      <c r="B2661">
        <v>30262</v>
      </c>
      <c r="C2661" t="s">
        <v>8699</v>
      </c>
      <c r="D2661" t="s">
        <v>6168</v>
      </c>
    </row>
    <row r="2662" spans="1:4">
      <c r="A2662" t="s">
        <v>8700</v>
      </c>
      <c r="B2662">
        <v>30260</v>
      </c>
      <c r="C2662" t="s">
        <v>6697</v>
      </c>
      <c r="D2662" t="s">
        <v>6168</v>
      </c>
    </row>
    <row r="2663" spans="1:4">
      <c r="A2663" t="s">
        <v>8701</v>
      </c>
      <c r="B2663">
        <v>22911</v>
      </c>
      <c r="C2663" t="s">
        <v>8686</v>
      </c>
      <c r="D2663" t="s">
        <v>6168</v>
      </c>
    </row>
    <row r="2664" spans="1:4">
      <c r="A2664" t="s">
        <v>8702</v>
      </c>
      <c r="B2664">
        <v>29733</v>
      </c>
      <c r="C2664" t="s">
        <v>8703</v>
      </c>
      <c r="D2664" t="s">
        <v>6168</v>
      </c>
    </row>
    <row r="2665" spans="1:4">
      <c r="A2665" t="s">
        <v>8704</v>
      </c>
      <c r="B2665">
        <v>22912</v>
      </c>
      <c r="C2665" t="s">
        <v>6546</v>
      </c>
      <c r="D2665" t="s">
        <v>6168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8705</v>
      </c>
      <c r="B2668">
        <v>3804</v>
      </c>
      <c r="C2668" t="s">
        <v>8706</v>
      </c>
      <c r="D2668" t="s">
        <v>6168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8707</v>
      </c>
      <c r="B2671">
        <v>21831</v>
      </c>
      <c r="C2671" t="s">
        <v>7834</v>
      </c>
      <c r="D2671" t="s">
        <v>6168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8708</v>
      </c>
      <c r="B2673">
        <v>4446</v>
      </c>
      <c r="C2673" t="s">
        <v>4605</v>
      </c>
      <c r="D2673" t="s">
        <v>6168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8709</v>
      </c>
      <c r="B2676">
        <v>24597</v>
      </c>
      <c r="C2676" t="s">
        <v>2829</v>
      </c>
      <c r="D2676" t="s">
        <v>6168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8710</v>
      </c>
      <c r="B2678">
        <v>30747</v>
      </c>
      <c r="C2678" t="s">
        <v>8711</v>
      </c>
      <c r="D2678" t="s">
        <v>6168</v>
      </c>
    </row>
    <row r="2679" spans="1:4">
      <c r="A2679" t="s">
        <v>8712</v>
      </c>
      <c r="B2679">
        <v>29594</v>
      </c>
      <c r="C2679" t="s">
        <v>6533</v>
      </c>
      <c r="D2679" t="s">
        <v>6168</v>
      </c>
    </row>
    <row r="2680" spans="1:4">
      <c r="A2680" t="s">
        <v>8713</v>
      </c>
      <c r="B2680">
        <v>41149</v>
      </c>
      <c r="C2680" t="s">
        <v>3297</v>
      </c>
      <c r="D2680" t="s">
        <v>6168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8714</v>
      </c>
      <c r="B2684">
        <v>2870</v>
      </c>
      <c r="D2684" t="s">
        <v>6267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8715</v>
      </c>
      <c r="B2686">
        <v>21833</v>
      </c>
      <c r="C2686" t="s">
        <v>7712</v>
      </c>
      <c r="D2686" t="s">
        <v>6168</v>
      </c>
    </row>
    <row r="2687" spans="1:4">
      <c r="A2687" t="s">
        <v>8716</v>
      </c>
      <c r="B2687">
        <v>21834</v>
      </c>
      <c r="C2687" t="s">
        <v>8717</v>
      </c>
      <c r="D2687" t="s">
        <v>6168</v>
      </c>
    </row>
    <row r="2688" spans="1:4">
      <c r="A2688" t="s">
        <v>8718</v>
      </c>
      <c r="B2688">
        <v>27371</v>
      </c>
      <c r="C2688" t="s">
        <v>6821</v>
      </c>
      <c r="D2688" t="s">
        <v>6168</v>
      </c>
    </row>
    <row r="2689" spans="1:4">
      <c r="A2689" t="s">
        <v>8719</v>
      </c>
      <c r="B2689">
        <v>21835</v>
      </c>
      <c r="C2689" t="s">
        <v>8720</v>
      </c>
      <c r="D2689" t="s">
        <v>6168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8721</v>
      </c>
      <c r="B2693">
        <v>3963</v>
      </c>
      <c r="C2693" t="s">
        <v>6914</v>
      </c>
      <c r="D2693" t="s">
        <v>6168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8722</v>
      </c>
      <c r="B2695">
        <v>39591</v>
      </c>
      <c r="C2695" t="s">
        <v>630</v>
      </c>
      <c r="D2695" t="s">
        <v>6314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8723</v>
      </c>
      <c r="B2697">
        <v>43451</v>
      </c>
      <c r="C2697" t="s">
        <v>8724</v>
      </c>
      <c r="D2697" t="s">
        <v>6168</v>
      </c>
    </row>
    <row r="2698" spans="1:4">
      <c r="A2698" t="s">
        <v>8725</v>
      </c>
      <c r="B2698">
        <v>36008</v>
      </c>
      <c r="C2698" t="s">
        <v>8726</v>
      </c>
      <c r="D2698" t="s">
        <v>6168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8727</v>
      </c>
      <c r="B2701">
        <v>4470</v>
      </c>
      <c r="C2701" t="s">
        <v>4594</v>
      </c>
      <c r="D2701" t="s">
        <v>6168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8728</v>
      </c>
      <c r="B2703">
        <v>21837</v>
      </c>
      <c r="C2703" t="s">
        <v>7706</v>
      </c>
      <c r="D2703" t="s">
        <v>6168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8729</v>
      </c>
      <c r="B2705">
        <v>29248</v>
      </c>
      <c r="C2705" t="s">
        <v>8730</v>
      </c>
      <c r="D2705" t="s">
        <v>6168</v>
      </c>
    </row>
    <row r="2706" spans="1:4">
      <c r="A2706" t="s">
        <v>8731</v>
      </c>
      <c r="B2706">
        <v>30293</v>
      </c>
      <c r="C2706" t="s">
        <v>8732</v>
      </c>
      <c r="D2706" t="s">
        <v>6168</v>
      </c>
    </row>
    <row r="2707" spans="1:4">
      <c r="A2707" t="s">
        <v>8733</v>
      </c>
      <c r="B2707">
        <v>24598</v>
      </c>
      <c r="C2707" t="s">
        <v>8734</v>
      </c>
      <c r="D2707" t="s">
        <v>6168</v>
      </c>
    </row>
    <row r="2708" spans="1:4">
      <c r="A2708" t="s">
        <v>8735</v>
      </c>
      <c r="B2708">
        <v>35210</v>
      </c>
      <c r="C2708" t="s">
        <v>8736</v>
      </c>
      <c r="D2708" t="s">
        <v>6168</v>
      </c>
    </row>
    <row r="2709" spans="1:4">
      <c r="A2709" t="s">
        <v>8737</v>
      </c>
      <c r="B2709">
        <v>23238</v>
      </c>
      <c r="D2709" t="s">
        <v>6245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8738</v>
      </c>
      <c r="B2713">
        <v>21839</v>
      </c>
      <c r="C2713" t="s">
        <v>6178</v>
      </c>
      <c r="D2713" t="s">
        <v>6168</v>
      </c>
    </row>
    <row r="2714" spans="1:4">
      <c r="A2714" t="s">
        <v>8739</v>
      </c>
      <c r="B2714">
        <v>39533</v>
      </c>
      <c r="C2714" t="s">
        <v>4287</v>
      </c>
      <c r="D2714" t="s">
        <v>6230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8740</v>
      </c>
      <c r="B2716">
        <v>38843</v>
      </c>
      <c r="C2716" t="s">
        <v>8741</v>
      </c>
      <c r="D2716" t="s">
        <v>6168</v>
      </c>
    </row>
    <row r="2717" spans="1:4">
      <c r="A2717" t="s">
        <v>8742</v>
      </c>
      <c r="B2717">
        <v>39854</v>
      </c>
      <c r="C2717" t="s">
        <v>4950</v>
      </c>
      <c r="D2717" t="s">
        <v>6168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8743</v>
      </c>
      <c r="B2720">
        <v>22913</v>
      </c>
      <c r="C2720" t="s">
        <v>8744</v>
      </c>
      <c r="D2720" t="s">
        <v>6168</v>
      </c>
    </row>
    <row r="2721" spans="1:4">
      <c r="A2721" t="s">
        <v>8745</v>
      </c>
      <c r="B2721">
        <v>3282</v>
      </c>
      <c r="C2721" t="s">
        <v>4950</v>
      </c>
      <c r="D2721" t="s">
        <v>6168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8746</v>
      </c>
      <c r="B2723">
        <v>23334</v>
      </c>
      <c r="C2723" t="s">
        <v>2329</v>
      </c>
      <c r="D2723" t="s">
        <v>6314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8747</v>
      </c>
      <c r="B2725">
        <v>31514</v>
      </c>
      <c r="C2725" t="s">
        <v>152</v>
      </c>
      <c r="D2725" t="s">
        <v>6314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8748</v>
      </c>
      <c r="B2727">
        <v>5117</v>
      </c>
      <c r="C2727" t="s">
        <v>8749</v>
      </c>
      <c r="D2727" t="s">
        <v>6168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8750</v>
      </c>
      <c r="B2729">
        <v>31148</v>
      </c>
      <c r="C2729" t="s">
        <v>4542</v>
      </c>
      <c r="D2729" t="s">
        <v>6168</v>
      </c>
    </row>
    <row r="2730" spans="1:4">
      <c r="A2730" t="s">
        <v>8751</v>
      </c>
      <c r="B2730">
        <v>1080</v>
      </c>
      <c r="C2730" t="s">
        <v>4542</v>
      </c>
      <c r="D2730" t="s">
        <v>6168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8752</v>
      </c>
      <c r="B2732">
        <v>21841</v>
      </c>
      <c r="C2732" t="s">
        <v>8753</v>
      </c>
      <c r="D2732" t="s">
        <v>6314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8754</v>
      </c>
      <c r="B2734">
        <v>31114</v>
      </c>
      <c r="C2734" t="s">
        <v>8755</v>
      </c>
      <c r="D2734" t="s">
        <v>6168</v>
      </c>
    </row>
    <row r="2735" spans="1:4">
      <c r="A2735" t="s">
        <v>8756</v>
      </c>
      <c r="B2735">
        <v>31106</v>
      </c>
      <c r="C2735" t="s">
        <v>8757</v>
      </c>
      <c r="D2735" t="s">
        <v>6168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8758</v>
      </c>
      <c r="B2737">
        <v>21843</v>
      </c>
      <c r="C2737" t="s">
        <v>8759</v>
      </c>
      <c r="D2737" t="s">
        <v>6168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8760</v>
      </c>
      <c r="B2739">
        <v>21845</v>
      </c>
      <c r="C2739" t="s">
        <v>8761</v>
      </c>
      <c r="D2739" t="s">
        <v>6168</v>
      </c>
    </row>
    <row r="2740" spans="1:4">
      <c r="A2740" t="s">
        <v>8762</v>
      </c>
      <c r="B2740">
        <v>21846</v>
      </c>
      <c r="C2740" t="s">
        <v>8763</v>
      </c>
      <c r="D2740" t="s">
        <v>6168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8764</v>
      </c>
      <c r="B2742">
        <v>30777</v>
      </c>
      <c r="C2742" t="s">
        <v>8765</v>
      </c>
      <c r="D2742" t="s">
        <v>6168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8766</v>
      </c>
      <c r="B2744">
        <v>38244</v>
      </c>
      <c r="C2744" t="s">
        <v>6239</v>
      </c>
      <c r="D2744" t="s">
        <v>6168</v>
      </c>
    </row>
    <row r="2745" spans="1:4">
      <c r="A2745" t="s">
        <v>8767</v>
      </c>
      <c r="B2745">
        <v>38245</v>
      </c>
      <c r="C2745" t="s">
        <v>8768</v>
      </c>
      <c r="D2745" t="s">
        <v>6168</v>
      </c>
    </row>
    <row r="2746" spans="1:4">
      <c r="A2746" t="s">
        <v>8769</v>
      </c>
      <c r="B2746">
        <v>3558</v>
      </c>
      <c r="C2746" t="s">
        <v>8770</v>
      </c>
      <c r="D2746" t="s">
        <v>6168</v>
      </c>
    </row>
    <row r="2747" spans="1:4">
      <c r="A2747" t="s">
        <v>8771</v>
      </c>
      <c r="B2747">
        <v>21847</v>
      </c>
      <c r="C2747" t="s">
        <v>8772</v>
      </c>
      <c r="D2747" t="s">
        <v>6168</v>
      </c>
    </row>
    <row r="2748" spans="1:4">
      <c r="A2748" t="s">
        <v>8773</v>
      </c>
      <c r="B2748">
        <v>38246</v>
      </c>
      <c r="C2748" t="s">
        <v>8774</v>
      </c>
      <c r="D2748" t="s">
        <v>6168</v>
      </c>
    </row>
    <row r="2749" spans="1:4">
      <c r="A2749" t="s">
        <v>8775</v>
      </c>
      <c r="B2749">
        <v>38247</v>
      </c>
      <c r="C2749" t="s">
        <v>8776</v>
      </c>
      <c r="D2749" t="s">
        <v>6168</v>
      </c>
    </row>
    <row r="2750" spans="1:4">
      <c r="A2750" t="s">
        <v>8777</v>
      </c>
      <c r="B2750">
        <v>38248</v>
      </c>
      <c r="C2750" t="s">
        <v>6239</v>
      </c>
      <c r="D2750" t="s">
        <v>6168</v>
      </c>
    </row>
    <row r="2751" spans="1:4">
      <c r="A2751" t="s">
        <v>8778</v>
      </c>
      <c r="B2751">
        <v>38249</v>
      </c>
      <c r="C2751" t="s">
        <v>6558</v>
      </c>
      <c r="D2751" t="s">
        <v>6168</v>
      </c>
    </row>
    <row r="2752" spans="1:4">
      <c r="A2752" t="s">
        <v>8779</v>
      </c>
      <c r="B2752">
        <v>39463</v>
      </c>
      <c r="C2752" t="s">
        <v>8780</v>
      </c>
      <c r="D2752" t="s">
        <v>6267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8781</v>
      </c>
      <c r="B2754">
        <v>21849</v>
      </c>
      <c r="C2754" t="s">
        <v>8782</v>
      </c>
      <c r="D2754" t="s">
        <v>6168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8783</v>
      </c>
      <c r="B2756">
        <v>29817</v>
      </c>
      <c r="C2756" t="s">
        <v>8784</v>
      </c>
      <c r="D2756" t="s">
        <v>6248</v>
      </c>
    </row>
    <row r="2757" spans="1:4">
      <c r="A2757" t="s">
        <v>8785</v>
      </c>
      <c r="B2757">
        <v>29894</v>
      </c>
      <c r="C2757" t="s">
        <v>7422</v>
      </c>
      <c r="D2757" t="s">
        <v>6168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8786</v>
      </c>
      <c r="B2760">
        <v>21851</v>
      </c>
      <c r="C2760" t="s">
        <v>6190</v>
      </c>
      <c r="D2760" t="s">
        <v>6168</v>
      </c>
    </row>
    <row r="2761" spans="1:4">
      <c r="A2761" t="s">
        <v>8787</v>
      </c>
      <c r="B2761">
        <v>21852</v>
      </c>
      <c r="C2761" t="s">
        <v>624</v>
      </c>
      <c r="D2761" t="s">
        <v>6267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8788</v>
      </c>
      <c r="B2763">
        <v>573</v>
      </c>
      <c r="D2763" t="s">
        <v>6168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8789</v>
      </c>
      <c r="B2765">
        <v>1069</v>
      </c>
      <c r="C2765" t="s">
        <v>8790</v>
      </c>
      <c r="D2765" t="s">
        <v>6168</v>
      </c>
    </row>
    <row r="2766" spans="1:4">
      <c r="A2766" t="s">
        <v>8791</v>
      </c>
      <c r="B2766">
        <v>3077</v>
      </c>
      <c r="C2766" t="s">
        <v>8792</v>
      </c>
      <c r="D2766" t="s">
        <v>6168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8793</v>
      </c>
      <c r="B2768">
        <v>4114</v>
      </c>
      <c r="C2768" t="s">
        <v>4950</v>
      </c>
      <c r="D2768" t="s">
        <v>6168</v>
      </c>
    </row>
    <row r="2769" spans="1:4">
      <c r="A2769" t="s">
        <v>8794</v>
      </c>
      <c r="B2769">
        <v>21854</v>
      </c>
      <c r="C2769" t="s">
        <v>8795</v>
      </c>
      <c r="D2769" t="s">
        <v>6168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8796</v>
      </c>
      <c r="B2771">
        <v>27406</v>
      </c>
      <c r="C2771" t="s">
        <v>2310</v>
      </c>
      <c r="D2771" t="s">
        <v>6314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8797</v>
      </c>
      <c r="B2773">
        <v>30769</v>
      </c>
      <c r="C2773" t="s">
        <v>8798</v>
      </c>
      <c r="D2773" t="s">
        <v>6168</v>
      </c>
    </row>
    <row r="2774" spans="1:4">
      <c r="A2774" t="s">
        <v>8799</v>
      </c>
      <c r="B2774">
        <v>30778</v>
      </c>
      <c r="C2774" t="s">
        <v>8800</v>
      </c>
      <c r="D2774" t="s">
        <v>6168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8801</v>
      </c>
      <c r="B2777">
        <v>29231</v>
      </c>
      <c r="C2777" t="s">
        <v>8802</v>
      </c>
      <c r="D2777" t="s">
        <v>6605</v>
      </c>
    </row>
    <row r="2778" spans="1:4">
      <c r="A2778" t="s">
        <v>8803</v>
      </c>
      <c r="B2778">
        <v>4177</v>
      </c>
      <c r="D2778" t="s">
        <v>7283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8804</v>
      </c>
      <c r="B2782">
        <v>31101</v>
      </c>
      <c r="C2782" t="s">
        <v>8805</v>
      </c>
      <c r="D2782" t="s">
        <v>6168</v>
      </c>
    </row>
    <row r="2783" spans="1:4">
      <c r="A2783" t="s">
        <v>8806</v>
      </c>
      <c r="B2783">
        <v>29228</v>
      </c>
      <c r="C2783" t="s">
        <v>6330</v>
      </c>
      <c r="D2783" t="s">
        <v>6168</v>
      </c>
    </row>
    <row r="2784" spans="1:4">
      <c r="A2784" t="s">
        <v>8807</v>
      </c>
      <c r="B2784">
        <v>30553</v>
      </c>
      <c r="C2784" t="s">
        <v>4950</v>
      </c>
      <c r="D2784" t="s">
        <v>6168</v>
      </c>
    </row>
    <row r="2785" spans="1:4">
      <c r="A2785" t="s">
        <v>8808</v>
      </c>
      <c r="B2785">
        <v>42749</v>
      </c>
      <c r="C2785" t="s">
        <v>8809</v>
      </c>
      <c r="D2785" t="s">
        <v>6168</v>
      </c>
    </row>
    <row r="2786" spans="1:4">
      <c r="A2786" t="s">
        <v>8810</v>
      </c>
      <c r="B2786">
        <v>29423</v>
      </c>
      <c r="C2786" t="s">
        <v>8811</v>
      </c>
      <c r="D2786" t="s">
        <v>6168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8812</v>
      </c>
      <c r="B2788">
        <v>30556</v>
      </c>
      <c r="C2788" t="s">
        <v>4950</v>
      </c>
      <c r="D2788" t="s">
        <v>6168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8813</v>
      </c>
      <c r="B2791">
        <v>40549</v>
      </c>
      <c r="C2791" t="s">
        <v>6190</v>
      </c>
      <c r="D2791" t="s">
        <v>6168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8814</v>
      </c>
      <c r="B2793">
        <v>3104</v>
      </c>
      <c r="C2793" t="s">
        <v>156</v>
      </c>
      <c r="D2793" t="s">
        <v>6168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8815</v>
      </c>
      <c r="B2796">
        <v>40548</v>
      </c>
      <c r="C2796" t="s">
        <v>6546</v>
      </c>
      <c r="D2796" t="s">
        <v>6168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8816</v>
      </c>
      <c r="B2798">
        <v>2678</v>
      </c>
      <c r="C2798" t="s">
        <v>8817</v>
      </c>
      <c r="D2798" t="s">
        <v>6168</v>
      </c>
    </row>
    <row r="2799" spans="1:4">
      <c r="A2799" t="s">
        <v>8818</v>
      </c>
      <c r="B2799">
        <v>2677</v>
      </c>
      <c r="C2799" t="s">
        <v>8819</v>
      </c>
      <c r="D2799" t="s">
        <v>6168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8820</v>
      </c>
      <c r="B2801">
        <v>21855</v>
      </c>
      <c r="C2801" t="s">
        <v>7303</v>
      </c>
      <c r="D2801" t="s">
        <v>6168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8821</v>
      </c>
      <c r="B2803">
        <v>2343</v>
      </c>
      <c r="C2803" t="s">
        <v>7329</v>
      </c>
      <c r="D2803" t="s">
        <v>6168</v>
      </c>
    </row>
    <row r="2804" spans="1:4">
      <c r="A2804" t="s">
        <v>8822</v>
      </c>
      <c r="B2804">
        <v>20037</v>
      </c>
      <c r="C2804" t="s">
        <v>8823</v>
      </c>
      <c r="D2804" t="s">
        <v>6168</v>
      </c>
    </row>
    <row r="2805" spans="1:4">
      <c r="A2805" t="s">
        <v>8824</v>
      </c>
      <c r="B2805">
        <v>859</v>
      </c>
      <c r="D2805" t="s">
        <v>7283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8825</v>
      </c>
      <c r="B2807">
        <v>21857</v>
      </c>
      <c r="C2807" t="s">
        <v>8826</v>
      </c>
      <c r="D2807" t="s">
        <v>6168</v>
      </c>
    </row>
    <row r="2808" spans="1:4">
      <c r="A2808" t="s">
        <v>8827</v>
      </c>
      <c r="B2808">
        <v>21858</v>
      </c>
      <c r="C2808" t="s">
        <v>7706</v>
      </c>
      <c r="D2808" t="s">
        <v>6168</v>
      </c>
    </row>
    <row r="2809" spans="1:4">
      <c r="A2809" t="s">
        <v>8828</v>
      </c>
      <c r="B2809">
        <v>25922</v>
      </c>
      <c r="D2809" t="s">
        <v>6292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8829</v>
      </c>
      <c r="B2811">
        <v>29852</v>
      </c>
      <c r="C2811" t="s">
        <v>8830</v>
      </c>
      <c r="D2811" t="s">
        <v>6168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8831</v>
      </c>
      <c r="B2814">
        <v>39440</v>
      </c>
      <c r="C2814" t="s">
        <v>5672</v>
      </c>
      <c r="D2814" t="s">
        <v>6314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8832</v>
      </c>
      <c r="B2816">
        <v>35113</v>
      </c>
      <c r="C2816" t="s">
        <v>8833</v>
      </c>
      <c r="D2816" t="s">
        <v>6168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8834</v>
      </c>
      <c r="B2820">
        <v>5223</v>
      </c>
      <c r="C2820" t="s">
        <v>1527</v>
      </c>
      <c r="D2820" t="s">
        <v>6168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8835</v>
      </c>
      <c r="B2822">
        <v>30273</v>
      </c>
      <c r="C2822" t="s">
        <v>8836</v>
      </c>
      <c r="D2822" t="s">
        <v>6168</v>
      </c>
    </row>
    <row r="2823" spans="1:4">
      <c r="A2823" t="s">
        <v>8837</v>
      </c>
      <c r="B2823">
        <v>21860</v>
      </c>
      <c r="C2823" t="s">
        <v>8838</v>
      </c>
      <c r="D2823" t="s">
        <v>6168</v>
      </c>
    </row>
    <row r="2824" spans="1:4">
      <c r="A2824" t="s">
        <v>17015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8839</v>
      </c>
      <c r="B2826">
        <v>3755</v>
      </c>
      <c r="C2826" t="s">
        <v>4105</v>
      </c>
      <c r="D2826" t="s">
        <v>6168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8840</v>
      </c>
      <c r="B2828">
        <v>40545</v>
      </c>
      <c r="C2828" t="s">
        <v>8841</v>
      </c>
      <c r="D2828" t="s">
        <v>6168</v>
      </c>
    </row>
    <row r="2829" spans="1:4">
      <c r="A2829" t="s">
        <v>8842</v>
      </c>
      <c r="B2829">
        <v>21862</v>
      </c>
      <c r="C2829" t="s">
        <v>4950</v>
      </c>
      <c r="D2829" t="s">
        <v>6168</v>
      </c>
    </row>
    <row r="2830" spans="1:4">
      <c r="A2830" t="s">
        <v>8843</v>
      </c>
      <c r="B2830">
        <v>33968</v>
      </c>
      <c r="D2830" t="s">
        <v>6292</v>
      </c>
    </row>
    <row r="2831" spans="1:4">
      <c r="A2831" t="s">
        <v>5937</v>
      </c>
      <c r="B2831">
        <v>41957</v>
      </c>
      <c r="C2831" t="s">
        <v>3896</v>
      </c>
      <c r="D2831" t="s">
        <v>6872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8844</v>
      </c>
      <c r="B2833">
        <v>23328</v>
      </c>
      <c r="C2833" t="s">
        <v>1053</v>
      </c>
      <c r="D2833" t="s">
        <v>6292</v>
      </c>
    </row>
    <row r="2834" spans="1:4">
      <c r="A2834" t="s">
        <v>8845</v>
      </c>
      <c r="B2834">
        <v>24099</v>
      </c>
      <c r="C2834" t="s">
        <v>2705</v>
      </c>
      <c r="D2834" t="s">
        <v>6245</v>
      </c>
    </row>
    <row r="2835" spans="1:4">
      <c r="A2835" t="s">
        <v>8846</v>
      </c>
      <c r="B2835">
        <v>23266</v>
      </c>
      <c r="D2835" t="s">
        <v>6230</v>
      </c>
    </row>
    <row r="2836" spans="1:4">
      <c r="A2836" t="s">
        <v>8847</v>
      </c>
      <c r="B2836">
        <v>42399</v>
      </c>
      <c r="D2836" t="s">
        <v>6292</v>
      </c>
    </row>
    <row r="2837" spans="1:4">
      <c r="A2837" t="s">
        <v>8848</v>
      </c>
      <c r="B2837">
        <v>23161</v>
      </c>
      <c r="C2837" t="s">
        <v>444</v>
      </c>
      <c r="D2837" t="s">
        <v>6314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8849</v>
      </c>
      <c r="B2839">
        <v>21864</v>
      </c>
      <c r="C2839" t="s">
        <v>6556</v>
      </c>
      <c r="D2839" t="s">
        <v>6168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16942</v>
      </c>
      <c r="B2842">
        <v>44008</v>
      </c>
      <c r="C2842" t="s">
        <v>16943</v>
      </c>
      <c r="D2842" t="s">
        <v>123</v>
      </c>
    </row>
    <row r="2843" spans="1:4">
      <c r="A2843" t="s">
        <v>16987</v>
      </c>
      <c r="B2843">
        <v>44232</v>
      </c>
      <c r="C2843" t="s">
        <v>16988</v>
      </c>
      <c r="D2843" t="s">
        <v>6168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8850</v>
      </c>
      <c r="B2846">
        <v>4118</v>
      </c>
      <c r="D2846" t="s">
        <v>6267</v>
      </c>
    </row>
    <row r="2847" spans="1:4">
      <c r="A2847" t="s">
        <v>8851</v>
      </c>
      <c r="B2847">
        <v>20615</v>
      </c>
      <c r="C2847" t="s">
        <v>8334</v>
      </c>
      <c r="D2847" t="s">
        <v>6314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8852</v>
      </c>
      <c r="B2849">
        <v>27409</v>
      </c>
      <c r="C2849" t="s">
        <v>1576</v>
      </c>
      <c r="D2849" t="s">
        <v>6267</v>
      </c>
    </row>
    <row r="2850" spans="1:4">
      <c r="A2850" t="s">
        <v>8853</v>
      </c>
      <c r="B2850">
        <v>35384</v>
      </c>
      <c r="D2850" t="s">
        <v>6292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8854</v>
      </c>
      <c r="B2852">
        <v>4302</v>
      </c>
      <c r="C2852" t="s">
        <v>8855</v>
      </c>
      <c r="D2852" t="s">
        <v>6245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8856</v>
      </c>
      <c r="B2854">
        <v>35718</v>
      </c>
      <c r="C2854" t="s">
        <v>8857</v>
      </c>
      <c r="D2854" t="s">
        <v>6248</v>
      </c>
    </row>
    <row r="2855" spans="1:4">
      <c r="A2855" t="s">
        <v>8858</v>
      </c>
      <c r="B2855">
        <v>36011</v>
      </c>
      <c r="C2855" t="s">
        <v>8859</v>
      </c>
      <c r="D2855" t="s">
        <v>6168</v>
      </c>
    </row>
    <row r="2856" spans="1:4">
      <c r="A2856" t="s">
        <v>8860</v>
      </c>
      <c r="B2856">
        <v>36012</v>
      </c>
      <c r="C2856" t="s">
        <v>2605</v>
      </c>
      <c r="D2856" t="s">
        <v>6168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8861</v>
      </c>
      <c r="B2858">
        <v>24601</v>
      </c>
      <c r="C2858" t="s">
        <v>8862</v>
      </c>
      <c r="D2858" t="s">
        <v>6168</v>
      </c>
    </row>
    <row r="2859" spans="1:4">
      <c r="A2859" t="s">
        <v>8863</v>
      </c>
      <c r="B2859">
        <v>24602</v>
      </c>
      <c r="C2859" t="s">
        <v>8864</v>
      </c>
      <c r="D2859" t="s">
        <v>6168</v>
      </c>
    </row>
    <row r="2860" spans="1:4">
      <c r="A2860" t="s">
        <v>8865</v>
      </c>
      <c r="B2860">
        <v>24603</v>
      </c>
      <c r="C2860" t="s">
        <v>8866</v>
      </c>
      <c r="D2860" t="s">
        <v>6168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8867</v>
      </c>
      <c r="B2862">
        <v>20613</v>
      </c>
      <c r="D2862" t="s">
        <v>6314</v>
      </c>
    </row>
    <row r="2863" spans="1:4">
      <c r="A2863" t="s">
        <v>8868</v>
      </c>
      <c r="B2863">
        <v>42400</v>
      </c>
      <c r="C2863" t="s">
        <v>444</v>
      </c>
      <c r="D2863" t="s">
        <v>6314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8869</v>
      </c>
      <c r="B2867">
        <v>29328</v>
      </c>
      <c r="D2867" t="s">
        <v>6314</v>
      </c>
    </row>
    <row r="2868" spans="1:4">
      <c r="A2868" t="s">
        <v>8870</v>
      </c>
      <c r="B2868">
        <v>43602</v>
      </c>
      <c r="C2868" t="s">
        <v>2607</v>
      </c>
      <c r="D2868" t="s">
        <v>123</v>
      </c>
    </row>
    <row r="2869" spans="1:4">
      <c r="A2869" t="s">
        <v>8871</v>
      </c>
      <c r="B2869">
        <v>43614</v>
      </c>
      <c r="C2869" t="s">
        <v>8872</v>
      </c>
      <c r="D2869" t="s">
        <v>6168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8873</v>
      </c>
      <c r="B2871">
        <v>23675</v>
      </c>
      <c r="C2871" t="s">
        <v>3079</v>
      </c>
      <c r="D2871" t="s">
        <v>6314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8874</v>
      </c>
      <c r="B2873">
        <v>4165</v>
      </c>
      <c r="C2873" t="s">
        <v>4950</v>
      </c>
      <c r="D2873" t="s">
        <v>6168</v>
      </c>
    </row>
    <row r="2874" spans="1:4">
      <c r="A2874" t="s">
        <v>8875</v>
      </c>
      <c r="B2874">
        <v>4166</v>
      </c>
      <c r="C2874" t="s">
        <v>8876</v>
      </c>
      <c r="D2874" t="s">
        <v>6168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8877</v>
      </c>
      <c r="B2877">
        <v>21866</v>
      </c>
      <c r="C2877" t="s">
        <v>8878</v>
      </c>
      <c r="D2877" t="s">
        <v>6168</v>
      </c>
    </row>
    <row r="2878" spans="1:4">
      <c r="A2878" t="s">
        <v>8879</v>
      </c>
      <c r="B2878">
        <v>27369</v>
      </c>
      <c r="C2878" t="s">
        <v>723</v>
      </c>
      <c r="D2878" t="s">
        <v>6168</v>
      </c>
    </row>
    <row r="2879" spans="1:4">
      <c r="A2879" t="s">
        <v>8880</v>
      </c>
      <c r="B2879">
        <v>27368</v>
      </c>
      <c r="C2879" t="s">
        <v>567</v>
      </c>
      <c r="D2879" t="s">
        <v>6168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8881</v>
      </c>
      <c r="B2881">
        <v>24605</v>
      </c>
      <c r="C2881" t="s">
        <v>8882</v>
      </c>
      <c r="D2881" t="s">
        <v>6168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8883</v>
      </c>
      <c r="B2883">
        <v>570</v>
      </c>
      <c r="C2883" t="s">
        <v>8884</v>
      </c>
      <c r="D2883" t="s">
        <v>6168</v>
      </c>
    </row>
    <row r="2884" spans="1:4">
      <c r="A2884" t="s">
        <v>8885</v>
      </c>
      <c r="B2884">
        <v>25915</v>
      </c>
      <c r="C2884" t="s">
        <v>426</v>
      </c>
      <c r="D2884" t="s">
        <v>6305</v>
      </c>
    </row>
    <row r="2885" spans="1:4">
      <c r="A2885" t="s">
        <v>8886</v>
      </c>
      <c r="B2885">
        <v>31455</v>
      </c>
      <c r="D2885" t="s">
        <v>6168</v>
      </c>
    </row>
    <row r="2886" spans="1:4">
      <c r="A2886" t="s">
        <v>976</v>
      </c>
      <c r="B2886">
        <v>21867</v>
      </c>
      <c r="C2886" t="s">
        <v>16673</v>
      </c>
      <c r="D2886" t="s">
        <v>123</v>
      </c>
    </row>
    <row r="2887" spans="1:4">
      <c r="A2887" t="s">
        <v>8887</v>
      </c>
      <c r="B2887">
        <v>21868</v>
      </c>
      <c r="C2887" t="s">
        <v>8888</v>
      </c>
      <c r="D2887" t="s">
        <v>6168</v>
      </c>
    </row>
    <row r="2888" spans="1:4">
      <c r="A2888" t="s">
        <v>8889</v>
      </c>
      <c r="B2888">
        <v>21890</v>
      </c>
      <c r="C2888" t="s">
        <v>8890</v>
      </c>
      <c r="D2888" t="s">
        <v>6230</v>
      </c>
    </row>
    <row r="2889" spans="1:4">
      <c r="A2889" t="s">
        <v>16671</v>
      </c>
      <c r="B2889">
        <v>21869</v>
      </c>
      <c r="C2889" t="s">
        <v>8890</v>
      </c>
      <c r="D2889" t="s">
        <v>134</v>
      </c>
    </row>
    <row r="2890" spans="1:4">
      <c r="A2890" t="s">
        <v>17256</v>
      </c>
      <c r="B2890">
        <v>45342</v>
      </c>
      <c r="C2890" t="s">
        <v>5270</v>
      </c>
      <c r="D2890" t="s">
        <v>123</v>
      </c>
    </row>
    <row r="2891" spans="1:4">
      <c r="A2891" t="s">
        <v>17387</v>
      </c>
      <c r="B2891">
        <v>45482</v>
      </c>
      <c r="C2891" t="s">
        <v>17388</v>
      </c>
      <c r="D2891" t="s">
        <v>6168</v>
      </c>
    </row>
    <row r="2892" spans="1:4">
      <c r="A2892" t="s">
        <v>8891</v>
      </c>
      <c r="B2892">
        <v>41948</v>
      </c>
      <c r="C2892" t="s">
        <v>8892</v>
      </c>
      <c r="D2892" t="s">
        <v>6245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8893</v>
      </c>
      <c r="B2894">
        <v>24105</v>
      </c>
      <c r="C2894" t="s">
        <v>4950</v>
      </c>
      <c r="D2894" t="s">
        <v>6168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8894</v>
      </c>
      <c r="B2896">
        <v>21871</v>
      </c>
      <c r="C2896" t="s">
        <v>736</v>
      </c>
      <c r="D2896" t="s">
        <v>6168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8895</v>
      </c>
      <c r="B2898">
        <v>23143</v>
      </c>
      <c r="C2898" t="s">
        <v>8439</v>
      </c>
      <c r="D2898" t="s">
        <v>6245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17016</v>
      </c>
      <c r="B2902">
        <v>44275</v>
      </c>
      <c r="C2902" t="s">
        <v>16858</v>
      </c>
      <c r="D2902" t="s">
        <v>6168</v>
      </c>
    </row>
    <row r="2903" spans="1:4">
      <c r="A2903" t="s">
        <v>17017</v>
      </c>
      <c r="B2903">
        <v>44276</v>
      </c>
      <c r="C2903" t="s">
        <v>14891</v>
      </c>
      <c r="D2903" t="s">
        <v>6168</v>
      </c>
    </row>
    <row r="2904" spans="1:4">
      <c r="A2904" t="s">
        <v>17018</v>
      </c>
      <c r="B2904">
        <v>44277</v>
      </c>
      <c r="C2904" t="s">
        <v>5870</v>
      </c>
      <c r="D2904" t="s">
        <v>6168</v>
      </c>
    </row>
    <row r="2905" spans="1:4">
      <c r="A2905" t="s">
        <v>17019</v>
      </c>
      <c r="B2905">
        <v>44278</v>
      </c>
      <c r="C2905" t="s">
        <v>17020</v>
      </c>
      <c r="D2905" t="s">
        <v>6168</v>
      </c>
    </row>
    <row r="2906" spans="1:4">
      <c r="A2906" t="s">
        <v>17021</v>
      </c>
      <c r="B2906">
        <v>44279</v>
      </c>
      <c r="C2906" t="s">
        <v>6214</v>
      </c>
      <c r="D2906" t="s">
        <v>6168</v>
      </c>
    </row>
    <row r="2907" spans="1:4">
      <c r="A2907" t="s">
        <v>8896</v>
      </c>
      <c r="B2907">
        <v>41653</v>
      </c>
      <c r="C2907" t="s">
        <v>8897</v>
      </c>
      <c r="D2907" t="s">
        <v>6168</v>
      </c>
    </row>
    <row r="2908" spans="1:4">
      <c r="A2908" t="s">
        <v>8898</v>
      </c>
      <c r="B2908">
        <v>25110</v>
      </c>
      <c r="C2908" t="s">
        <v>2705</v>
      </c>
      <c r="D2908" t="s">
        <v>6245</v>
      </c>
    </row>
    <row r="2909" spans="1:4">
      <c r="A2909" t="s">
        <v>8899</v>
      </c>
      <c r="B2909">
        <v>4537</v>
      </c>
      <c r="C2909" t="s">
        <v>4599</v>
      </c>
      <c r="D2909" t="s">
        <v>6245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8900</v>
      </c>
      <c r="B2911">
        <v>31433</v>
      </c>
      <c r="C2911" t="s">
        <v>6309</v>
      </c>
      <c r="D2911" t="s">
        <v>6168</v>
      </c>
    </row>
    <row r="2912" spans="1:4">
      <c r="A2912" t="s">
        <v>8901</v>
      </c>
      <c r="B2912">
        <v>31434</v>
      </c>
      <c r="C2912" t="s">
        <v>8902</v>
      </c>
      <c r="D2912" t="s">
        <v>6168</v>
      </c>
    </row>
    <row r="2913" spans="1:4">
      <c r="A2913" t="s">
        <v>8903</v>
      </c>
      <c r="B2913">
        <v>23482</v>
      </c>
      <c r="C2913" t="s">
        <v>6914</v>
      </c>
      <c r="D2913" t="s">
        <v>6168</v>
      </c>
    </row>
    <row r="2914" spans="1:4">
      <c r="A2914" t="s">
        <v>8904</v>
      </c>
      <c r="B2914">
        <v>42750</v>
      </c>
      <c r="C2914" t="s">
        <v>8905</v>
      </c>
      <c r="D2914" t="s">
        <v>6168</v>
      </c>
    </row>
    <row r="2915" spans="1:4">
      <c r="A2915" t="s">
        <v>8906</v>
      </c>
      <c r="B2915">
        <v>21873</v>
      </c>
      <c r="C2915" t="s">
        <v>776</v>
      </c>
      <c r="D2915" t="s">
        <v>6168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8907</v>
      </c>
      <c r="B2918">
        <v>35617</v>
      </c>
      <c r="C2918" t="s">
        <v>6194</v>
      </c>
      <c r="D2918" t="s">
        <v>6168</v>
      </c>
    </row>
    <row r="2919" spans="1:4">
      <c r="A2919" t="s">
        <v>8908</v>
      </c>
      <c r="B2919">
        <v>43162</v>
      </c>
      <c r="C2919" t="s">
        <v>8909</v>
      </c>
      <c r="D2919" t="s">
        <v>6267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8910</v>
      </c>
      <c r="B2923">
        <v>35072</v>
      </c>
      <c r="C2923" t="s">
        <v>2070</v>
      </c>
      <c r="D2923" t="s">
        <v>6168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8911</v>
      </c>
      <c r="B2925">
        <v>2706</v>
      </c>
      <c r="C2925" t="s">
        <v>7106</v>
      </c>
      <c r="D2925" t="s">
        <v>6168</v>
      </c>
    </row>
    <row r="2926" spans="1:4">
      <c r="A2926" t="s">
        <v>8912</v>
      </c>
      <c r="B2926">
        <v>2707</v>
      </c>
      <c r="C2926" t="s">
        <v>8913</v>
      </c>
      <c r="D2926" t="s">
        <v>6168</v>
      </c>
    </row>
    <row r="2927" spans="1:4">
      <c r="A2927" t="s">
        <v>8914</v>
      </c>
      <c r="B2927">
        <v>2708</v>
      </c>
      <c r="D2927" t="s">
        <v>6168</v>
      </c>
    </row>
    <row r="2928" spans="1:4">
      <c r="A2928" t="s">
        <v>8915</v>
      </c>
      <c r="B2928">
        <v>20578</v>
      </c>
      <c r="C2928" t="s">
        <v>8916</v>
      </c>
      <c r="D2928" t="s">
        <v>6267</v>
      </c>
    </row>
    <row r="2929" spans="1:4">
      <c r="A2929" t="s">
        <v>8915</v>
      </c>
      <c r="B2929">
        <v>21883</v>
      </c>
      <c r="C2929" t="s">
        <v>8917</v>
      </c>
      <c r="D2929" t="s">
        <v>6267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8918</v>
      </c>
      <c r="B2931">
        <v>21876</v>
      </c>
      <c r="C2931" t="s">
        <v>8314</v>
      </c>
      <c r="D2931" t="s">
        <v>6168</v>
      </c>
    </row>
    <row r="2932" spans="1:4">
      <c r="A2932" t="s">
        <v>8919</v>
      </c>
      <c r="B2932">
        <v>21877</v>
      </c>
      <c r="C2932" t="s">
        <v>6330</v>
      </c>
      <c r="D2932" t="s">
        <v>6168</v>
      </c>
    </row>
    <row r="2933" spans="1:4">
      <c r="A2933" t="s">
        <v>8920</v>
      </c>
      <c r="B2933">
        <v>21878</v>
      </c>
      <c r="C2933" t="s">
        <v>4950</v>
      </c>
      <c r="D2933" t="s">
        <v>6168</v>
      </c>
    </row>
    <row r="2934" spans="1:4">
      <c r="A2934" t="s">
        <v>8921</v>
      </c>
      <c r="B2934">
        <v>21879</v>
      </c>
      <c r="C2934" t="s">
        <v>8922</v>
      </c>
      <c r="D2934" t="s">
        <v>6168</v>
      </c>
    </row>
    <row r="2935" spans="1:4">
      <c r="A2935" t="s">
        <v>8923</v>
      </c>
      <c r="B2935">
        <v>21880</v>
      </c>
      <c r="C2935" t="s">
        <v>8924</v>
      </c>
      <c r="D2935" t="s">
        <v>6168</v>
      </c>
    </row>
    <row r="2936" spans="1:4">
      <c r="A2936" t="s">
        <v>8925</v>
      </c>
      <c r="B2936">
        <v>21881</v>
      </c>
      <c r="C2936" t="s">
        <v>4950</v>
      </c>
      <c r="D2936" t="s">
        <v>6168</v>
      </c>
    </row>
    <row r="2937" spans="1:4">
      <c r="A2937" t="s">
        <v>8926</v>
      </c>
      <c r="B2937">
        <v>21882</v>
      </c>
      <c r="C2937" t="s">
        <v>8927</v>
      </c>
      <c r="D2937" t="s">
        <v>6168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8928</v>
      </c>
      <c r="B2939">
        <v>585</v>
      </c>
      <c r="C2939" t="s">
        <v>8929</v>
      </c>
      <c r="D2939" t="s">
        <v>6168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8930</v>
      </c>
      <c r="B2941">
        <v>24106</v>
      </c>
      <c r="C2941" t="s">
        <v>148</v>
      </c>
      <c r="D2941" t="s">
        <v>6168</v>
      </c>
    </row>
    <row r="2942" spans="1:4">
      <c r="A2942" t="s">
        <v>8931</v>
      </c>
      <c r="B2942">
        <v>39509</v>
      </c>
      <c r="C2942" t="s">
        <v>8932</v>
      </c>
      <c r="D2942" t="s">
        <v>6230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8933</v>
      </c>
      <c r="B2944">
        <v>40543</v>
      </c>
      <c r="C2944" t="s">
        <v>148</v>
      </c>
      <c r="D2944" t="s">
        <v>6314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8934</v>
      </c>
      <c r="B2946">
        <v>41654</v>
      </c>
      <c r="C2946" t="s">
        <v>8935</v>
      </c>
      <c r="D2946" t="s">
        <v>6168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8936</v>
      </c>
      <c r="B2948">
        <v>41152</v>
      </c>
      <c r="C2948" t="s">
        <v>8937</v>
      </c>
      <c r="D2948" t="s">
        <v>6168</v>
      </c>
    </row>
    <row r="2949" spans="1:4">
      <c r="A2949" t="s">
        <v>8938</v>
      </c>
      <c r="B2949">
        <v>36013</v>
      </c>
      <c r="C2949" t="s">
        <v>8939</v>
      </c>
      <c r="D2949" t="s">
        <v>6168</v>
      </c>
    </row>
    <row r="2950" spans="1:4">
      <c r="A2950" t="s">
        <v>8940</v>
      </c>
      <c r="B2950">
        <v>42039</v>
      </c>
      <c r="C2950" t="s">
        <v>8941</v>
      </c>
      <c r="D2950" t="s">
        <v>6168</v>
      </c>
    </row>
    <row r="2951" spans="1:4">
      <c r="A2951" t="s">
        <v>8942</v>
      </c>
      <c r="B2951">
        <v>36014</v>
      </c>
      <c r="C2951" t="s">
        <v>6330</v>
      </c>
      <c r="D2951" t="s">
        <v>6168</v>
      </c>
    </row>
    <row r="2952" spans="1:4">
      <c r="A2952" t="s">
        <v>8943</v>
      </c>
      <c r="B2952">
        <v>36015</v>
      </c>
      <c r="C2952" t="s">
        <v>8939</v>
      </c>
      <c r="D2952" t="s">
        <v>6168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8944</v>
      </c>
      <c r="B2955">
        <v>2575</v>
      </c>
      <c r="C2955" t="s">
        <v>1610</v>
      </c>
      <c r="D2955" t="s">
        <v>6168</v>
      </c>
    </row>
    <row r="2956" spans="1:4">
      <c r="A2956" t="s">
        <v>8945</v>
      </c>
      <c r="B2956">
        <v>2576</v>
      </c>
      <c r="C2956" t="s">
        <v>8946</v>
      </c>
      <c r="D2956" t="s">
        <v>6168</v>
      </c>
    </row>
    <row r="2957" spans="1:4">
      <c r="A2957" t="s">
        <v>8947</v>
      </c>
      <c r="B2957">
        <v>2577</v>
      </c>
      <c r="C2957" t="s">
        <v>8948</v>
      </c>
      <c r="D2957" t="s">
        <v>6168</v>
      </c>
    </row>
    <row r="2958" spans="1:4">
      <c r="A2958" t="s">
        <v>8949</v>
      </c>
      <c r="B2958">
        <v>2578</v>
      </c>
      <c r="C2958" t="s">
        <v>6417</v>
      </c>
      <c r="D2958" t="s">
        <v>6168</v>
      </c>
    </row>
    <row r="2959" spans="1:4">
      <c r="A2959" t="s">
        <v>8950</v>
      </c>
      <c r="B2959">
        <v>2579</v>
      </c>
      <c r="C2959" t="s">
        <v>8951</v>
      </c>
      <c r="D2959" t="s">
        <v>6168</v>
      </c>
    </row>
    <row r="2960" spans="1:4">
      <c r="A2960" t="s">
        <v>8952</v>
      </c>
      <c r="B2960">
        <v>2580</v>
      </c>
      <c r="D2960" t="s">
        <v>6168</v>
      </c>
    </row>
    <row r="2961" spans="1:4">
      <c r="A2961" t="s">
        <v>8953</v>
      </c>
      <c r="B2961">
        <v>2581</v>
      </c>
      <c r="C2961" t="s">
        <v>6768</v>
      </c>
      <c r="D2961" t="s">
        <v>6168</v>
      </c>
    </row>
    <row r="2962" spans="1:4">
      <c r="A2962" t="s">
        <v>8954</v>
      </c>
      <c r="B2962">
        <v>2582</v>
      </c>
      <c r="C2962" t="s">
        <v>8955</v>
      </c>
      <c r="D2962" t="s">
        <v>6168</v>
      </c>
    </row>
    <row r="2963" spans="1:4">
      <c r="A2963" t="s">
        <v>8956</v>
      </c>
      <c r="B2963">
        <v>2583</v>
      </c>
      <c r="D2963" t="s">
        <v>6168</v>
      </c>
    </row>
    <row r="2964" spans="1:4">
      <c r="A2964" t="s">
        <v>8957</v>
      </c>
      <c r="B2964">
        <v>2584</v>
      </c>
      <c r="C2964" t="s">
        <v>8958</v>
      </c>
      <c r="D2964" t="s">
        <v>6168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8959</v>
      </c>
      <c r="B2966">
        <v>41655</v>
      </c>
      <c r="C2966" t="s">
        <v>1273</v>
      </c>
      <c r="D2966" t="s">
        <v>6168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8960</v>
      </c>
      <c r="B2968">
        <v>21885</v>
      </c>
      <c r="C2968" t="s">
        <v>4950</v>
      </c>
      <c r="D2968" t="s">
        <v>6168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8961</v>
      </c>
      <c r="B2970">
        <v>21887</v>
      </c>
      <c r="C2970" t="s">
        <v>264</v>
      </c>
      <c r="D2970" t="s">
        <v>6314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8962</v>
      </c>
      <c r="B2973">
        <v>31100</v>
      </c>
      <c r="C2973" t="s">
        <v>8963</v>
      </c>
      <c r="D2973" t="s">
        <v>6168</v>
      </c>
    </row>
    <row r="2974" spans="1:4">
      <c r="A2974" t="s">
        <v>8964</v>
      </c>
      <c r="B2974">
        <v>37362</v>
      </c>
      <c r="C2974" t="s">
        <v>2317</v>
      </c>
      <c r="D2974" t="s">
        <v>6168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8965</v>
      </c>
      <c r="B2976">
        <v>39683</v>
      </c>
      <c r="C2976" t="s">
        <v>3901</v>
      </c>
      <c r="D2976" t="s">
        <v>6267</v>
      </c>
    </row>
    <row r="2977" spans="1:4">
      <c r="A2977" t="s">
        <v>8966</v>
      </c>
      <c r="B2977">
        <v>40542</v>
      </c>
      <c r="C2977" t="s">
        <v>3901</v>
      </c>
      <c r="D2977" t="s">
        <v>6305</v>
      </c>
    </row>
    <row r="2978" spans="1:4">
      <c r="A2978" t="s">
        <v>8967</v>
      </c>
      <c r="B2978">
        <v>30782</v>
      </c>
      <c r="C2978" t="s">
        <v>3901</v>
      </c>
      <c r="D2978" t="s">
        <v>6314</v>
      </c>
    </row>
    <row r="2979" spans="1:4">
      <c r="A2979" t="s">
        <v>8968</v>
      </c>
      <c r="B2979">
        <v>36016</v>
      </c>
      <c r="C2979" t="s">
        <v>8969</v>
      </c>
      <c r="D2979" t="s">
        <v>6230</v>
      </c>
    </row>
    <row r="2980" spans="1:4">
      <c r="A2980" t="s">
        <v>8970</v>
      </c>
      <c r="B2980">
        <v>36321</v>
      </c>
      <c r="C2980" t="s">
        <v>2317</v>
      </c>
      <c r="D2980" t="s">
        <v>6314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8971</v>
      </c>
      <c r="B2983">
        <v>34978</v>
      </c>
      <c r="C2983" t="s">
        <v>624</v>
      </c>
      <c r="D2983" t="s">
        <v>6314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8972</v>
      </c>
      <c r="B2985">
        <v>2310</v>
      </c>
      <c r="C2985" t="s">
        <v>6473</v>
      </c>
      <c r="D2985" t="s">
        <v>6168</v>
      </c>
    </row>
    <row r="2986" spans="1:4">
      <c r="A2986" t="s">
        <v>8973</v>
      </c>
      <c r="B2986">
        <v>2311</v>
      </c>
      <c r="C2986" t="s">
        <v>8974</v>
      </c>
      <c r="D2986" t="s">
        <v>6168</v>
      </c>
    </row>
    <row r="2987" spans="1:4">
      <c r="A2987" t="s">
        <v>8975</v>
      </c>
      <c r="B2987">
        <v>225</v>
      </c>
      <c r="C2987" t="s">
        <v>1659</v>
      </c>
      <c r="D2987" t="s">
        <v>6168</v>
      </c>
    </row>
    <row r="2988" spans="1:4">
      <c r="A2988" t="s">
        <v>8976</v>
      </c>
      <c r="B2988">
        <v>226</v>
      </c>
      <c r="C2988" t="s">
        <v>1820</v>
      </c>
      <c r="D2988" t="s">
        <v>6168</v>
      </c>
    </row>
    <row r="2989" spans="1:4">
      <c r="A2989" t="s">
        <v>8977</v>
      </c>
      <c r="B2989">
        <v>227</v>
      </c>
      <c r="C2989" t="s">
        <v>6760</v>
      </c>
      <c r="D2989" t="s">
        <v>6168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8978</v>
      </c>
      <c r="B2991">
        <v>21889</v>
      </c>
      <c r="C2991" t="s">
        <v>4950</v>
      </c>
      <c r="D2991" t="s">
        <v>6168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8979</v>
      </c>
      <c r="B2994">
        <v>922</v>
      </c>
      <c r="C2994" t="s">
        <v>8980</v>
      </c>
      <c r="D2994" t="s">
        <v>6168</v>
      </c>
    </row>
    <row r="2995" spans="1:4">
      <c r="A2995" t="s">
        <v>8981</v>
      </c>
      <c r="B2995">
        <v>30814</v>
      </c>
      <c r="C2995" t="s">
        <v>8982</v>
      </c>
      <c r="D2995" t="s">
        <v>6230</v>
      </c>
    </row>
    <row r="2996" spans="1:4">
      <c r="A2996" t="s">
        <v>8983</v>
      </c>
      <c r="B2996">
        <v>24610</v>
      </c>
      <c r="C2996" t="s">
        <v>1244</v>
      </c>
      <c r="D2996" t="s">
        <v>6168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17102</v>
      </c>
      <c r="B2998">
        <v>44353</v>
      </c>
      <c r="C2998" t="s">
        <v>17103</v>
      </c>
      <c r="D2998" t="s">
        <v>123</v>
      </c>
    </row>
    <row r="2999" spans="1:4">
      <c r="A2999" t="s">
        <v>4743</v>
      </c>
      <c r="B2999">
        <v>31251</v>
      </c>
      <c r="C2999" t="s">
        <v>16689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8984</v>
      </c>
      <c r="B3002">
        <v>21893</v>
      </c>
      <c r="C3002" t="s">
        <v>776</v>
      </c>
      <c r="D3002" t="s">
        <v>6168</v>
      </c>
    </row>
    <row r="3003" spans="1:4">
      <c r="A3003" t="s">
        <v>8985</v>
      </c>
      <c r="B3003">
        <v>42924</v>
      </c>
      <c r="C3003" t="s">
        <v>8986</v>
      </c>
      <c r="D3003" t="s">
        <v>6230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8987</v>
      </c>
      <c r="B3005">
        <v>41656</v>
      </c>
      <c r="C3005" t="s">
        <v>6214</v>
      </c>
      <c r="D3005" t="s">
        <v>6168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8988</v>
      </c>
      <c r="B3011">
        <v>25114</v>
      </c>
      <c r="C3011" t="s">
        <v>8989</v>
      </c>
      <c r="D3011" t="s">
        <v>6168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8990</v>
      </c>
      <c r="B3013">
        <v>821</v>
      </c>
      <c r="D3013" t="s">
        <v>6267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8991</v>
      </c>
      <c r="B3015">
        <v>21895</v>
      </c>
      <c r="C3015" t="s">
        <v>8992</v>
      </c>
      <c r="D3015" t="s">
        <v>6168</v>
      </c>
    </row>
    <row r="3016" spans="1:4">
      <c r="A3016" t="s">
        <v>8993</v>
      </c>
      <c r="B3016">
        <v>21896</v>
      </c>
      <c r="C3016" t="s">
        <v>8994</v>
      </c>
      <c r="D3016" t="s">
        <v>6168</v>
      </c>
    </row>
    <row r="3017" spans="1:4">
      <c r="A3017" t="s">
        <v>17202</v>
      </c>
      <c r="B3017">
        <v>44555</v>
      </c>
      <c r="C3017" t="s">
        <v>17203</v>
      </c>
      <c r="D3017" t="s">
        <v>123</v>
      </c>
    </row>
    <row r="3018" spans="1:4">
      <c r="A3018" t="s">
        <v>17208</v>
      </c>
      <c r="B3018">
        <v>44568</v>
      </c>
      <c r="C3018" t="s">
        <v>17209</v>
      </c>
      <c r="D3018" t="s">
        <v>6168</v>
      </c>
    </row>
    <row r="3019" spans="1:4">
      <c r="A3019" t="s">
        <v>8995</v>
      </c>
      <c r="B3019">
        <v>4079</v>
      </c>
      <c r="C3019" t="s">
        <v>8996</v>
      </c>
      <c r="D3019" t="s">
        <v>6243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8997</v>
      </c>
      <c r="B3021">
        <v>3140</v>
      </c>
      <c r="C3021" t="s">
        <v>8998</v>
      </c>
      <c r="D3021" t="s">
        <v>6245</v>
      </c>
    </row>
    <row r="3022" spans="1:4">
      <c r="A3022" t="s">
        <v>8999</v>
      </c>
      <c r="B3022">
        <v>38339</v>
      </c>
      <c r="C3022" t="s">
        <v>9000</v>
      </c>
      <c r="D3022" t="s">
        <v>6243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9001</v>
      </c>
      <c r="B3024">
        <v>35410</v>
      </c>
      <c r="C3024" t="s">
        <v>9002</v>
      </c>
      <c r="D3024" t="s">
        <v>6168</v>
      </c>
    </row>
    <row r="3025" spans="1:4">
      <c r="A3025" t="s">
        <v>9003</v>
      </c>
      <c r="B3025">
        <v>30425</v>
      </c>
      <c r="C3025" t="s">
        <v>9004</v>
      </c>
      <c r="D3025" t="s">
        <v>6168</v>
      </c>
    </row>
    <row r="3026" spans="1:4">
      <c r="A3026" t="s">
        <v>9005</v>
      </c>
      <c r="B3026">
        <v>30462</v>
      </c>
      <c r="C3026" t="s">
        <v>7410</v>
      </c>
      <c r="D3026" t="s">
        <v>6168</v>
      </c>
    </row>
    <row r="3027" spans="1:4">
      <c r="A3027" t="s">
        <v>9006</v>
      </c>
      <c r="B3027">
        <v>31090</v>
      </c>
      <c r="C3027" t="s">
        <v>9007</v>
      </c>
      <c r="D3027" t="s">
        <v>6168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9008</v>
      </c>
      <c r="B3029">
        <v>30613</v>
      </c>
      <c r="C3029" t="s">
        <v>6558</v>
      </c>
      <c r="D3029" t="s">
        <v>6168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9009</v>
      </c>
      <c r="B3033">
        <v>39815</v>
      </c>
      <c r="C3033" t="s">
        <v>9010</v>
      </c>
      <c r="D3033" t="s">
        <v>6168</v>
      </c>
    </row>
    <row r="3034" spans="1:4">
      <c r="A3034" t="s">
        <v>9011</v>
      </c>
      <c r="B3034">
        <v>25116</v>
      </c>
      <c r="C3034" t="s">
        <v>2981</v>
      </c>
      <c r="D3034" t="s">
        <v>6168</v>
      </c>
    </row>
    <row r="3035" spans="1:4">
      <c r="A3035" t="s">
        <v>9012</v>
      </c>
      <c r="B3035">
        <v>23559</v>
      </c>
      <c r="C3035" t="s">
        <v>9013</v>
      </c>
      <c r="D3035" t="s">
        <v>6605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9014</v>
      </c>
      <c r="B3037">
        <v>3122</v>
      </c>
      <c r="D3037" t="s">
        <v>6168</v>
      </c>
    </row>
    <row r="3038" spans="1:4">
      <c r="A3038" t="s">
        <v>9015</v>
      </c>
      <c r="B3038">
        <v>24615</v>
      </c>
      <c r="C3038" t="s">
        <v>4031</v>
      </c>
      <c r="D3038" t="s">
        <v>6230</v>
      </c>
    </row>
    <row r="3039" spans="1:4">
      <c r="A3039" t="s">
        <v>9016</v>
      </c>
      <c r="B3039">
        <v>23679</v>
      </c>
      <c r="C3039" t="s">
        <v>5279</v>
      </c>
      <c r="D3039" t="s">
        <v>6245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9017</v>
      </c>
      <c r="B3042">
        <v>1073</v>
      </c>
      <c r="C3042" t="s">
        <v>9018</v>
      </c>
      <c r="D3042" t="s">
        <v>6168</v>
      </c>
    </row>
    <row r="3043" spans="1:4">
      <c r="A3043" t="s">
        <v>9019</v>
      </c>
      <c r="B3043">
        <v>1074</v>
      </c>
      <c r="C3043" t="s">
        <v>9020</v>
      </c>
      <c r="D3043" t="s">
        <v>6168</v>
      </c>
    </row>
    <row r="3044" spans="1:4">
      <c r="A3044" t="s">
        <v>9021</v>
      </c>
      <c r="B3044">
        <v>21530</v>
      </c>
      <c r="C3044" t="s">
        <v>9022</v>
      </c>
      <c r="D3044" t="s">
        <v>6168</v>
      </c>
    </row>
    <row r="3045" spans="1:4">
      <c r="A3045" t="s">
        <v>17440</v>
      </c>
      <c r="B3045">
        <v>45730</v>
      </c>
      <c r="C3045" t="s">
        <v>1402</v>
      </c>
      <c r="D3045" t="s">
        <v>123</v>
      </c>
    </row>
    <row r="3046" spans="1:4">
      <c r="A3046" t="s">
        <v>17512</v>
      </c>
      <c r="B3046">
        <v>45932</v>
      </c>
      <c r="C3046" t="s">
        <v>1402</v>
      </c>
      <c r="D3046" t="s">
        <v>6168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9023</v>
      </c>
      <c r="B3049">
        <v>39853</v>
      </c>
      <c r="D3049" t="s">
        <v>8049</v>
      </c>
    </row>
    <row r="3050" spans="1:4">
      <c r="A3050" t="s">
        <v>17513</v>
      </c>
      <c r="B3050">
        <v>45933</v>
      </c>
      <c r="C3050" t="s">
        <v>9025</v>
      </c>
      <c r="D3050" t="s">
        <v>134</v>
      </c>
    </row>
    <row r="3051" spans="1:4">
      <c r="A3051" t="s">
        <v>9024</v>
      </c>
      <c r="B3051">
        <v>27266</v>
      </c>
      <c r="C3051" t="s">
        <v>9025</v>
      </c>
      <c r="D3051" t="s">
        <v>6314</v>
      </c>
    </row>
    <row r="3052" spans="1:4">
      <c r="A3052" t="s">
        <v>17545</v>
      </c>
      <c r="B3052">
        <v>45977</v>
      </c>
      <c r="C3052" t="s">
        <v>14544</v>
      </c>
      <c r="D3052" t="s">
        <v>123</v>
      </c>
    </row>
    <row r="3053" spans="1:4">
      <c r="A3053" t="s">
        <v>17568</v>
      </c>
      <c r="B3053">
        <v>46839</v>
      </c>
      <c r="C3053" t="s">
        <v>17569</v>
      </c>
      <c r="D3053" t="s">
        <v>6168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9026</v>
      </c>
      <c r="B3056">
        <v>23144</v>
      </c>
      <c r="C3056" t="s">
        <v>9027</v>
      </c>
      <c r="D3056" t="s">
        <v>6245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9028</v>
      </c>
      <c r="B3058">
        <v>23129</v>
      </c>
      <c r="C3058" t="s">
        <v>9029</v>
      </c>
      <c r="D3058" t="s">
        <v>6267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9030</v>
      </c>
      <c r="B3061">
        <v>21898</v>
      </c>
      <c r="C3061" t="s">
        <v>9031</v>
      </c>
      <c r="D3061" t="s">
        <v>6168</v>
      </c>
    </row>
    <row r="3062" spans="1:4">
      <c r="A3062" t="s">
        <v>9032</v>
      </c>
      <c r="B3062">
        <v>21899</v>
      </c>
      <c r="C3062" t="s">
        <v>9033</v>
      </c>
      <c r="D3062" t="s">
        <v>6168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9034</v>
      </c>
      <c r="B3064">
        <v>21901</v>
      </c>
      <c r="C3064" t="s">
        <v>9035</v>
      </c>
      <c r="D3064" t="s">
        <v>6168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9036</v>
      </c>
      <c r="B3067">
        <v>39715</v>
      </c>
      <c r="C3067" t="s">
        <v>261</v>
      </c>
      <c r="D3067" t="s">
        <v>6248</v>
      </c>
    </row>
    <row r="3068" spans="1:4">
      <c r="A3068" t="s">
        <v>9037</v>
      </c>
      <c r="B3068">
        <v>30762</v>
      </c>
      <c r="C3068" t="s">
        <v>7005</v>
      </c>
      <c r="D3068" t="s">
        <v>6168</v>
      </c>
    </row>
    <row r="3069" spans="1:4">
      <c r="A3069" t="s">
        <v>9038</v>
      </c>
      <c r="B3069">
        <v>30763</v>
      </c>
      <c r="C3069" t="s">
        <v>7005</v>
      </c>
      <c r="D3069" t="s">
        <v>6168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9039</v>
      </c>
      <c r="B3071">
        <v>43455</v>
      </c>
      <c r="C3071" t="s">
        <v>9040</v>
      </c>
      <c r="D3071" t="s">
        <v>6168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9041</v>
      </c>
      <c r="B3073">
        <v>30554</v>
      </c>
      <c r="C3073" t="s">
        <v>9042</v>
      </c>
      <c r="D3073" t="s">
        <v>6168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9043</v>
      </c>
      <c r="B3075">
        <v>19306</v>
      </c>
      <c r="C3075" t="s">
        <v>9020</v>
      </c>
      <c r="D3075" t="s">
        <v>6168</v>
      </c>
    </row>
    <row r="3076" spans="1:4">
      <c r="A3076" t="s">
        <v>9044</v>
      </c>
      <c r="B3076">
        <v>19307</v>
      </c>
      <c r="C3076" t="s">
        <v>9045</v>
      </c>
      <c r="D3076" t="s">
        <v>6168</v>
      </c>
    </row>
    <row r="3077" spans="1:4">
      <c r="A3077" t="s">
        <v>9046</v>
      </c>
      <c r="B3077">
        <v>20729</v>
      </c>
      <c r="C3077" t="s">
        <v>9047</v>
      </c>
      <c r="D3077" t="s">
        <v>6168</v>
      </c>
    </row>
    <row r="3078" spans="1:4">
      <c r="A3078" t="s">
        <v>9048</v>
      </c>
      <c r="B3078">
        <v>20372</v>
      </c>
      <c r="C3078" t="s">
        <v>9049</v>
      </c>
      <c r="D3078" t="s">
        <v>6168</v>
      </c>
    </row>
    <row r="3079" spans="1:4">
      <c r="A3079" t="s">
        <v>9050</v>
      </c>
      <c r="B3079">
        <v>19308</v>
      </c>
      <c r="C3079" t="s">
        <v>9051</v>
      </c>
      <c r="D3079" t="s">
        <v>6168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9052</v>
      </c>
      <c r="B3081">
        <v>2486</v>
      </c>
      <c r="C3081" t="s">
        <v>9053</v>
      </c>
      <c r="D3081" t="s">
        <v>6168</v>
      </c>
    </row>
    <row r="3082" spans="1:4">
      <c r="A3082" t="s">
        <v>9054</v>
      </c>
      <c r="B3082">
        <v>2487</v>
      </c>
      <c r="C3082" t="s">
        <v>9055</v>
      </c>
      <c r="D3082" t="s">
        <v>6168</v>
      </c>
    </row>
    <row r="3083" spans="1:4">
      <c r="A3083" t="s">
        <v>9056</v>
      </c>
      <c r="B3083">
        <v>2488</v>
      </c>
      <c r="C3083" t="s">
        <v>9057</v>
      </c>
      <c r="D3083" t="s">
        <v>6168</v>
      </c>
    </row>
    <row r="3084" spans="1:4">
      <c r="A3084" t="s">
        <v>9058</v>
      </c>
      <c r="B3084">
        <v>2490</v>
      </c>
      <c r="C3084" t="s">
        <v>9059</v>
      </c>
      <c r="D3084" t="s">
        <v>6168</v>
      </c>
    </row>
    <row r="3085" spans="1:4">
      <c r="A3085" t="s">
        <v>9060</v>
      </c>
      <c r="B3085">
        <v>2489</v>
      </c>
      <c r="D3085" t="s">
        <v>6168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9061</v>
      </c>
      <c r="B3087">
        <v>33950</v>
      </c>
      <c r="C3087" t="s">
        <v>1286</v>
      </c>
      <c r="D3087" t="s">
        <v>6267</v>
      </c>
    </row>
    <row r="3088" spans="1:4">
      <c r="A3088" t="s">
        <v>9062</v>
      </c>
      <c r="B3088">
        <v>34125</v>
      </c>
      <c r="C3088" t="s">
        <v>9063</v>
      </c>
      <c r="D3088" t="s">
        <v>6168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9064</v>
      </c>
      <c r="B3090">
        <v>31829</v>
      </c>
      <c r="C3090" t="s">
        <v>8741</v>
      </c>
      <c r="D3090" t="s">
        <v>6168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9065</v>
      </c>
      <c r="B3094">
        <v>30792</v>
      </c>
      <c r="C3094" t="s">
        <v>8466</v>
      </c>
      <c r="D3094" t="s">
        <v>6168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9066</v>
      </c>
      <c r="B3096">
        <v>21903</v>
      </c>
      <c r="C3096" t="s">
        <v>841</v>
      </c>
      <c r="D3096" t="s">
        <v>6168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9067</v>
      </c>
      <c r="B3099">
        <v>24112</v>
      </c>
      <c r="C3099" t="s">
        <v>9068</v>
      </c>
      <c r="D3099" t="s">
        <v>6168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9069</v>
      </c>
      <c r="B3101">
        <v>31096</v>
      </c>
      <c r="C3101" t="s">
        <v>6625</v>
      </c>
      <c r="D3101" t="s">
        <v>6168</v>
      </c>
    </row>
    <row r="3102" spans="1:4">
      <c r="A3102" t="s">
        <v>9070</v>
      </c>
      <c r="B3102">
        <v>4292</v>
      </c>
      <c r="C3102" t="s">
        <v>6176</v>
      </c>
      <c r="D3102" t="s">
        <v>6168</v>
      </c>
    </row>
    <row r="3103" spans="1:4">
      <c r="A3103" t="s">
        <v>16844</v>
      </c>
      <c r="B3103">
        <v>43894</v>
      </c>
      <c r="C3103" t="s">
        <v>6649</v>
      </c>
      <c r="D3103" t="s">
        <v>6168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9071</v>
      </c>
      <c r="B3105">
        <v>39566</v>
      </c>
      <c r="D3105" t="s">
        <v>6267</v>
      </c>
    </row>
    <row r="3106" spans="1:4">
      <c r="A3106" t="s">
        <v>9072</v>
      </c>
      <c r="B3106">
        <v>25117</v>
      </c>
      <c r="D3106" t="s">
        <v>6230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9073</v>
      </c>
      <c r="B3109">
        <v>31140</v>
      </c>
      <c r="C3109" t="s">
        <v>9074</v>
      </c>
      <c r="D3109" t="s">
        <v>6168</v>
      </c>
    </row>
    <row r="3110" spans="1:4">
      <c r="A3110" t="s">
        <v>9073</v>
      </c>
      <c r="B3110">
        <v>21905</v>
      </c>
      <c r="C3110" t="s">
        <v>9075</v>
      </c>
      <c r="D3110" t="s">
        <v>6168</v>
      </c>
    </row>
    <row r="3111" spans="1:4">
      <c r="A3111" t="s">
        <v>9076</v>
      </c>
      <c r="B3111">
        <v>21906</v>
      </c>
      <c r="C3111" t="s">
        <v>9077</v>
      </c>
      <c r="D3111" t="s">
        <v>6168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9078</v>
      </c>
      <c r="B3113">
        <v>43456</v>
      </c>
      <c r="C3113" t="s">
        <v>9079</v>
      </c>
      <c r="D3113" t="s">
        <v>6168</v>
      </c>
    </row>
    <row r="3114" spans="1:4">
      <c r="A3114" t="s">
        <v>9080</v>
      </c>
      <c r="B3114">
        <v>35708</v>
      </c>
      <c r="C3114" t="s">
        <v>9081</v>
      </c>
      <c r="D3114" t="s">
        <v>6168</v>
      </c>
    </row>
    <row r="3115" spans="1:4">
      <c r="A3115" t="s">
        <v>16845</v>
      </c>
      <c r="B3115">
        <v>43895</v>
      </c>
      <c r="C3115" t="s">
        <v>7772</v>
      </c>
      <c r="D3115" t="s">
        <v>6168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9082</v>
      </c>
      <c r="B3117">
        <v>30601</v>
      </c>
      <c r="C3117" t="s">
        <v>9083</v>
      </c>
      <c r="D3117" t="s">
        <v>6245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9084</v>
      </c>
      <c r="B3119">
        <v>29647</v>
      </c>
      <c r="C3119" t="s">
        <v>9085</v>
      </c>
      <c r="D3119" t="s">
        <v>6168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9086</v>
      </c>
      <c r="B3123">
        <v>3712</v>
      </c>
      <c r="C3123" t="s">
        <v>9087</v>
      </c>
      <c r="D3123" t="s">
        <v>6168</v>
      </c>
    </row>
    <row r="3124" spans="1:4">
      <c r="A3124" t="s">
        <v>9088</v>
      </c>
      <c r="B3124">
        <v>3713</v>
      </c>
      <c r="C3124" t="s">
        <v>9089</v>
      </c>
      <c r="D3124" t="s">
        <v>6168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9090</v>
      </c>
      <c r="B3126">
        <v>36017</v>
      </c>
      <c r="C3126" t="s">
        <v>2981</v>
      </c>
      <c r="D3126" t="s">
        <v>6168</v>
      </c>
    </row>
    <row r="3127" spans="1:4">
      <c r="A3127" t="s">
        <v>17257</v>
      </c>
      <c r="B3127">
        <v>45344</v>
      </c>
      <c r="C3127" t="s">
        <v>17258</v>
      </c>
      <c r="D3127" t="s">
        <v>6168</v>
      </c>
    </row>
    <row r="3128" spans="1:4">
      <c r="A3128" t="s">
        <v>9091</v>
      </c>
      <c r="B3128">
        <v>43139</v>
      </c>
      <c r="C3128" t="s">
        <v>9092</v>
      </c>
      <c r="D3128" t="s">
        <v>6168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9093</v>
      </c>
      <c r="B3130">
        <v>810</v>
      </c>
      <c r="D3130" t="s">
        <v>6267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9094</v>
      </c>
      <c r="B3132">
        <v>36322</v>
      </c>
      <c r="C3132" t="s">
        <v>1077</v>
      </c>
      <c r="D3132" t="s">
        <v>6168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9095</v>
      </c>
      <c r="B3134">
        <v>39527</v>
      </c>
      <c r="C3134" t="s">
        <v>9096</v>
      </c>
      <c r="D3134" t="s">
        <v>6267</v>
      </c>
    </row>
    <row r="3135" spans="1:4">
      <c r="A3135" t="s">
        <v>9097</v>
      </c>
      <c r="B3135">
        <v>39450</v>
      </c>
      <c r="C3135" t="s">
        <v>9096</v>
      </c>
      <c r="D3135" t="s">
        <v>6314</v>
      </c>
    </row>
    <row r="3136" spans="1:4">
      <c r="A3136" t="s">
        <v>17389</v>
      </c>
      <c r="B3136">
        <v>45483</v>
      </c>
      <c r="C3136" t="s">
        <v>1139</v>
      </c>
      <c r="D3136" t="s">
        <v>123</v>
      </c>
    </row>
    <row r="3137" spans="1:4">
      <c r="A3137" t="s">
        <v>17441</v>
      </c>
      <c r="B3137">
        <v>45731</v>
      </c>
      <c r="C3137" t="s">
        <v>17442</v>
      </c>
      <c r="D3137" t="s">
        <v>6168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9098</v>
      </c>
      <c r="B3140">
        <v>21908</v>
      </c>
      <c r="C3140" t="s">
        <v>1273</v>
      </c>
      <c r="D3140" t="s">
        <v>6168</v>
      </c>
    </row>
    <row r="3141" spans="1:4">
      <c r="A3141" t="s">
        <v>9099</v>
      </c>
      <c r="B3141">
        <v>21909</v>
      </c>
      <c r="C3141" t="s">
        <v>1758</v>
      </c>
      <c r="D3141" t="s">
        <v>6168</v>
      </c>
    </row>
    <row r="3142" spans="1:4">
      <c r="A3142" t="s">
        <v>9100</v>
      </c>
      <c r="B3142">
        <v>21910</v>
      </c>
      <c r="C3142" t="s">
        <v>9101</v>
      </c>
      <c r="D3142" t="s">
        <v>6168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9102</v>
      </c>
      <c r="B3145">
        <v>23683</v>
      </c>
      <c r="C3145" t="s">
        <v>9103</v>
      </c>
      <c r="D3145" t="s">
        <v>6168</v>
      </c>
    </row>
    <row r="3146" spans="1:4">
      <c r="A3146" t="s">
        <v>9104</v>
      </c>
      <c r="B3146">
        <v>35107</v>
      </c>
      <c r="C3146" t="s">
        <v>9105</v>
      </c>
      <c r="D3146" t="s">
        <v>6168</v>
      </c>
    </row>
    <row r="3147" spans="1:4">
      <c r="A3147" t="s">
        <v>9106</v>
      </c>
      <c r="B3147">
        <v>23684</v>
      </c>
      <c r="C3147" t="s">
        <v>2881</v>
      </c>
      <c r="D3147" t="s">
        <v>6168</v>
      </c>
    </row>
    <row r="3148" spans="1:4">
      <c r="A3148" t="s">
        <v>9107</v>
      </c>
      <c r="B3148">
        <v>38759</v>
      </c>
      <c r="C3148" t="s">
        <v>9108</v>
      </c>
      <c r="D3148" t="s">
        <v>6168</v>
      </c>
    </row>
    <row r="3149" spans="1:4">
      <c r="A3149" t="s">
        <v>9109</v>
      </c>
      <c r="B3149">
        <v>30280</v>
      </c>
      <c r="C3149" t="s">
        <v>8859</v>
      </c>
      <c r="D3149" t="s">
        <v>6168</v>
      </c>
    </row>
    <row r="3150" spans="1:4">
      <c r="A3150" t="s">
        <v>9110</v>
      </c>
      <c r="B3150">
        <v>23685</v>
      </c>
      <c r="C3150" t="s">
        <v>9111</v>
      </c>
      <c r="D3150" t="s">
        <v>6168</v>
      </c>
    </row>
    <row r="3151" spans="1:4">
      <c r="A3151" t="s">
        <v>9112</v>
      </c>
      <c r="B3151">
        <v>23686</v>
      </c>
      <c r="C3151" t="s">
        <v>1053</v>
      </c>
      <c r="D3151" t="s">
        <v>6168</v>
      </c>
    </row>
    <row r="3152" spans="1:4">
      <c r="A3152" t="s">
        <v>9113</v>
      </c>
      <c r="B3152">
        <v>30277</v>
      </c>
      <c r="C3152" t="s">
        <v>9114</v>
      </c>
      <c r="D3152" t="s">
        <v>6168</v>
      </c>
    </row>
    <row r="3153" spans="1:4">
      <c r="A3153" t="s">
        <v>17259</v>
      </c>
      <c r="B3153">
        <v>45345</v>
      </c>
      <c r="C3153" t="s">
        <v>17260</v>
      </c>
      <c r="D3153" t="s">
        <v>6168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9115</v>
      </c>
      <c r="B3155">
        <v>31189</v>
      </c>
      <c r="C3155" t="s">
        <v>9116</v>
      </c>
      <c r="D3155" t="s">
        <v>6168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9117</v>
      </c>
      <c r="B3157">
        <v>21912</v>
      </c>
      <c r="C3157" t="s">
        <v>9118</v>
      </c>
      <c r="D3157" t="s">
        <v>6168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17514</v>
      </c>
      <c r="B3159">
        <v>45934</v>
      </c>
      <c r="C3159" t="s">
        <v>5872</v>
      </c>
      <c r="D3159" t="s">
        <v>123</v>
      </c>
    </row>
    <row r="3160" spans="1:4">
      <c r="A3160" t="s">
        <v>17546</v>
      </c>
      <c r="B3160">
        <v>45978</v>
      </c>
      <c r="C3160" t="s">
        <v>5872</v>
      </c>
      <c r="D3160" t="s">
        <v>6168</v>
      </c>
    </row>
    <row r="3161" spans="1:4">
      <c r="A3161" t="s">
        <v>9119</v>
      </c>
      <c r="B3161">
        <v>3121</v>
      </c>
      <c r="D3161" t="s">
        <v>6267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9120</v>
      </c>
      <c r="B3166">
        <v>26381</v>
      </c>
      <c r="C3166" t="s">
        <v>1323</v>
      </c>
      <c r="D3166" t="s">
        <v>6245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9121</v>
      </c>
      <c r="B3168">
        <v>133</v>
      </c>
      <c r="C3168" t="s">
        <v>7589</v>
      </c>
      <c r="D3168" t="s">
        <v>6168</v>
      </c>
    </row>
    <row r="3169" spans="1:4">
      <c r="A3169" t="s">
        <v>9122</v>
      </c>
      <c r="B3169">
        <v>134</v>
      </c>
      <c r="C3169" t="s">
        <v>9123</v>
      </c>
      <c r="D3169" t="s">
        <v>6168</v>
      </c>
    </row>
    <row r="3170" spans="1:4">
      <c r="A3170" t="s">
        <v>9124</v>
      </c>
      <c r="B3170">
        <v>135</v>
      </c>
      <c r="C3170" t="s">
        <v>9125</v>
      </c>
      <c r="D3170" t="s">
        <v>6168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9126</v>
      </c>
      <c r="B3173">
        <v>21529</v>
      </c>
      <c r="C3173" t="s">
        <v>9127</v>
      </c>
      <c r="D3173" t="s">
        <v>6168</v>
      </c>
    </row>
    <row r="3174" spans="1:4">
      <c r="A3174" t="s">
        <v>9128</v>
      </c>
      <c r="B3174">
        <v>5229</v>
      </c>
      <c r="C3174" t="s">
        <v>9129</v>
      </c>
      <c r="D3174" t="s">
        <v>6168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9130</v>
      </c>
      <c r="B3178">
        <v>21914</v>
      </c>
      <c r="C3178" t="s">
        <v>838</v>
      </c>
      <c r="D3178" t="s">
        <v>6168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9131</v>
      </c>
      <c r="B3180">
        <v>21916</v>
      </c>
      <c r="C3180" t="s">
        <v>9132</v>
      </c>
      <c r="D3180" t="s">
        <v>6168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9133</v>
      </c>
      <c r="B3182">
        <v>21918</v>
      </c>
      <c r="D3182" t="s">
        <v>6314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9134</v>
      </c>
      <c r="B3184">
        <v>2978</v>
      </c>
      <c r="C3184" t="s">
        <v>6535</v>
      </c>
      <c r="D3184" t="s">
        <v>6168</v>
      </c>
    </row>
    <row r="3185" spans="1:4">
      <c r="A3185" t="s">
        <v>17086</v>
      </c>
      <c r="B3185">
        <v>44343</v>
      </c>
      <c r="C3185" t="s">
        <v>17087</v>
      </c>
      <c r="D3185" t="s">
        <v>6305</v>
      </c>
    </row>
    <row r="3186" spans="1:4">
      <c r="A3186" t="s">
        <v>17088</v>
      </c>
      <c r="B3186">
        <v>44344</v>
      </c>
      <c r="C3186" t="s">
        <v>17089</v>
      </c>
      <c r="D3186" t="s">
        <v>123</v>
      </c>
    </row>
    <row r="3187" spans="1:4">
      <c r="A3187" t="s">
        <v>9135</v>
      </c>
      <c r="B3187">
        <v>32572</v>
      </c>
      <c r="C3187" t="s">
        <v>9136</v>
      </c>
      <c r="D3187" t="s">
        <v>6168</v>
      </c>
    </row>
    <row r="3188" spans="1:4">
      <c r="A3188" t="s">
        <v>17090</v>
      </c>
      <c r="B3188">
        <v>44345</v>
      </c>
      <c r="C3188" t="s">
        <v>11076</v>
      </c>
      <c r="D3188" t="s">
        <v>6168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9137</v>
      </c>
      <c r="B3190">
        <v>157</v>
      </c>
      <c r="C3190" t="s">
        <v>9138</v>
      </c>
      <c r="D3190" t="s">
        <v>6168</v>
      </c>
    </row>
    <row r="3191" spans="1:4">
      <c r="A3191" t="s">
        <v>9139</v>
      </c>
      <c r="B3191">
        <v>33849</v>
      </c>
      <c r="C3191" t="s">
        <v>7589</v>
      </c>
      <c r="D3191" t="s">
        <v>6168</v>
      </c>
    </row>
    <row r="3192" spans="1:4">
      <c r="A3192" t="s">
        <v>9140</v>
      </c>
      <c r="B3192">
        <v>158</v>
      </c>
      <c r="C3192" t="s">
        <v>9141</v>
      </c>
      <c r="D3192" t="s">
        <v>6168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9142</v>
      </c>
      <c r="B3194">
        <v>21920</v>
      </c>
      <c r="C3194" t="s">
        <v>8314</v>
      </c>
      <c r="D3194" t="s">
        <v>6168</v>
      </c>
    </row>
    <row r="3195" spans="1:4">
      <c r="A3195" t="s">
        <v>9143</v>
      </c>
      <c r="B3195">
        <v>25460</v>
      </c>
      <c r="C3195" t="s">
        <v>1273</v>
      </c>
      <c r="D3195" t="s">
        <v>6168</v>
      </c>
    </row>
    <row r="3196" spans="1:4">
      <c r="A3196" t="s">
        <v>9144</v>
      </c>
      <c r="B3196">
        <v>21921</v>
      </c>
      <c r="C3196" t="s">
        <v>9145</v>
      </c>
      <c r="D3196" t="s">
        <v>6168</v>
      </c>
    </row>
    <row r="3197" spans="1:4">
      <c r="A3197" t="s">
        <v>9146</v>
      </c>
      <c r="B3197">
        <v>38267</v>
      </c>
      <c r="C3197" t="s">
        <v>9147</v>
      </c>
      <c r="D3197" t="s">
        <v>6267</v>
      </c>
    </row>
    <row r="3198" spans="1:4">
      <c r="A3198" t="s">
        <v>9148</v>
      </c>
      <c r="B3198">
        <v>21922</v>
      </c>
      <c r="C3198" t="s">
        <v>9147</v>
      </c>
      <c r="D3198" t="s">
        <v>6305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9149</v>
      </c>
      <c r="B3200">
        <v>3906</v>
      </c>
      <c r="C3200" t="s">
        <v>9150</v>
      </c>
      <c r="D3200" t="s">
        <v>6168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9151</v>
      </c>
      <c r="B3203">
        <v>34127</v>
      </c>
      <c r="C3203" t="s">
        <v>9152</v>
      </c>
      <c r="D3203" t="s">
        <v>6168</v>
      </c>
    </row>
    <row r="3204" spans="1:4">
      <c r="A3204" t="s">
        <v>9153</v>
      </c>
      <c r="B3204">
        <v>35226</v>
      </c>
      <c r="C3204" t="s">
        <v>9154</v>
      </c>
      <c r="D3204" t="s">
        <v>6168</v>
      </c>
    </row>
    <row r="3205" spans="1:4">
      <c r="A3205" t="s">
        <v>9155</v>
      </c>
      <c r="B3205">
        <v>24958</v>
      </c>
      <c r="C3205" t="s">
        <v>9154</v>
      </c>
      <c r="D3205" t="s">
        <v>6449</v>
      </c>
    </row>
    <row r="3206" spans="1:4">
      <c r="A3206" t="s">
        <v>9156</v>
      </c>
      <c r="B3206">
        <v>24959</v>
      </c>
      <c r="C3206" t="s">
        <v>2898</v>
      </c>
      <c r="D3206" t="s">
        <v>6168</v>
      </c>
    </row>
    <row r="3207" spans="1:4">
      <c r="A3207" t="s">
        <v>9157</v>
      </c>
      <c r="B3207">
        <v>42040</v>
      </c>
      <c r="C3207" t="s">
        <v>9158</v>
      </c>
      <c r="D3207" t="s">
        <v>6168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9159</v>
      </c>
      <c r="B3209">
        <v>35257</v>
      </c>
      <c r="C3209" t="s">
        <v>5288</v>
      </c>
      <c r="D3209" t="s">
        <v>6168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9160</v>
      </c>
      <c r="B3211">
        <v>2748</v>
      </c>
      <c r="C3211" t="s">
        <v>9161</v>
      </c>
      <c r="D3211" t="s">
        <v>6168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9162</v>
      </c>
      <c r="B3213">
        <v>29714</v>
      </c>
      <c r="C3213" t="s">
        <v>9163</v>
      </c>
      <c r="D3213" t="s">
        <v>6168</v>
      </c>
    </row>
    <row r="3214" spans="1:4">
      <c r="A3214" t="s">
        <v>9164</v>
      </c>
      <c r="B3214">
        <v>30274</v>
      </c>
      <c r="C3214" t="s">
        <v>4950</v>
      </c>
      <c r="D3214" t="s">
        <v>6168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9165</v>
      </c>
      <c r="B3216">
        <v>39719</v>
      </c>
      <c r="C3216" t="s">
        <v>9166</v>
      </c>
      <c r="D3216" t="s">
        <v>6267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9167</v>
      </c>
      <c r="B3218">
        <v>25918</v>
      </c>
      <c r="D3218" t="s">
        <v>6168</v>
      </c>
    </row>
    <row r="3219" spans="1:4">
      <c r="A3219" t="s">
        <v>9168</v>
      </c>
      <c r="B3219">
        <v>20579</v>
      </c>
      <c r="C3219" t="s">
        <v>7124</v>
      </c>
      <c r="D3219" t="s">
        <v>6168</v>
      </c>
    </row>
    <row r="3220" spans="1:4">
      <c r="A3220" t="s">
        <v>9169</v>
      </c>
      <c r="B3220">
        <v>25920</v>
      </c>
      <c r="D3220" t="s">
        <v>6168</v>
      </c>
    </row>
    <row r="3221" spans="1:4">
      <c r="A3221" t="s">
        <v>9170</v>
      </c>
      <c r="B3221">
        <v>25917</v>
      </c>
      <c r="D3221" t="s">
        <v>6168</v>
      </c>
    </row>
    <row r="3222" spans="1:4">
      <c r="A3222" t="s">
        <v>9171</v>
      </c>
      <c r="B3222">
        <v>25919</v>
      </c>
      <c r="D3222" t="s">
        <v>6168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9172</v>
      </c>
      <c r="B3224">
        <v>9775</v>
      </c>
      <c r="C3224" t="s">
        <v>9173</v>
      </c>
      <c r="D3224" t="s">
        <v>6168</v>
      </c>
    </row>
    <row r="3225" spans="1:4">
      <c r="A3225" t="s">
        <v>9174</v>
      </c>
      <c r="B3225">
        <v>9778</v>
      </c>
      <c r="C3225" t="s">
        <v>1820</v>
      </c>
      <c r="D3225" t="s">
        <v>6168</v>
      </c>
    </row>
    <row r="3226" spans="1:4">
      <c r="A3226" t="s">
        <v>9175</v>
      </c>
      <c r="B3226">
        <v>2308</v>
      </c>
      <c r="C3226" t="s">
        <v>1475</v>
      </c>
      <c r="D3226" t="s">
        <v>6168</v>
      </c>
    </row>
    <row r="3227" spans="1:4">
      <c r="A3227" t="s">
        <v>9176</v>
      </c>
      <c r="B3227">
        <v>2309</v>
      </c>
      <c r="C3227" t="s">
        <v>6519</v>
      </c>
      <c r="D3227" t="s">
        <v>6168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9177</v>
      </c>
      <c r="B3229">
        <v>41728</v>
      </c>
      <c r="C3229" t="s">
        <v>6330</v>
      </c>
      <c r="D3229" t="s">
        <v>6168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9178</v>
      </c>
      <c r="B3232">
        <v>24624</v>
      </c>
      <c r="C3232" t="s">
        <v>9179</v>
      </c>
      <c r="D3232" t="s">
        <v>6168</v>
      </c>
    </row>
    <row r="3233" spans="1:4">
      <c r="A3233" t="s">
        <v>9180</v>
      </c>
      <c r="B3233">
        <v>31307</v>
      </c>
      <c r="C3233" t="s">
        <v>9181</v>
      </c>
      <c r="D3233" t="s">
        <v>6168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9182</v>
      </c>
      <c r="B3236">
        <v>21924</v>
      </c>
      <c r="C3236" t="s">
        <v>7236</v>
      </c>
      <c r="D3236" t="s">
        <v>6168</v>
      </c>
    </row>
    <row r="3237" spans="1:4">
      <c r="A3237" t="s">
        <v>9183</v>
      </c>
      <c r="B3237">
        <v>21925</v>
      </c>
      <c r="C3237" t="s">
        <v>9184</v>
      </c>
      <c r="D3237" t="s">
        <v>6168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9185</v>
      </c>
      <c r="B3239">
        <v>21927</v>
      </c>
      <c r="C3239" t="s">
        <v>9186</v>
      </c>
      <c r="D3239" t="s">
        <v>6168</v>
      </c>
    </row>
    <row r="3240" spans="1:4">
      <c r="A3240" t="s">
        <v>9187</v>
      </c>
      <c r="B3240">
        <v>21928</v>
      </c>
      <c r="C3240" t="s">
        <v>6178</v>
      </c>
      <c r="D3240" t="s">
        <v>6168</v>
      </c>
    </row>
    <row r="3241" spans="1:4">
      <c r="A3241" t="s">
        <v>9188</v>
      </c>
      <c r="B3241">
        <v>24116</v>
      </c>
      <c r="C3241" t="s">
        <v>6194</v>
      </c>
      <c r="D3241" t="s">
        <v>6168</v>
      </c>
    </row>
    <row r="3242" spans="1:4">
      <c r="A3242" t="s">
        <v>16846</v>
      </c>
      <c r="B3242">
        <v>43897</v>
      </c>
      <c r="C3242" t="s">
        <v>5872</v>
      </c>
      <c r="D3242" t="s">
        <v>123</v>
      </c>
    </row>
    <row r="3243" spans="1:4">
      <c r="A3243" t="s">
        <v>17443</v>
      </c>
      <c r="B3243">
        <v>45734</v>
      </c>
      <c r="C3243" t="s">
        <v>4950</v>
      </c>
      <c r="D3243" t="s">
        <v>6168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9189</v>
      </c>
      <c r="B3245">
        <v>21929</v>
      </c>
      <c r="C3245" t="s">
        <v>9190</v>
      </c>
      <c r="D3245" t="s">
        <v>6245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9191</v>
      </c>
      <c r="B3247">
        <v>43016</v>
      </c>
      <c r="C3247" t="s">
        <v>9192</v>
      </c>
      <c r="D3247" t="s">
        <v>6168</v>
      </c>
    </row>
    <row r="3248" spans="1:4">
      <c r="A3248" t="s">
        <v>9193</v>
      </c>
      <c r="B3248">
        <v>26380</v>
      </c>
      <c r="C3248" t="s">
        <v>8007</v>
      </c>
      <c r="D3248" t="s">
        <v>6168</v>
      </c>
    </row>
    <row r="3249" spans="1:4">
      <c r="A3249" t="s">
        <v>9194</v>
      </c>
      <c r="B3249">
        <v>23435</v>
      </c>
      <c r="C3249" t="s">
        <v>9195</v>
      </c>
      <c r="D3249" t="s">
        <v>6168</v>
      </c>
    </row>
    <row r="3250" spans="1:4">
      <c r="A3250" t="s">
        <v>9196</v>
      </c>
      <c r="B3250">
        <v>23436</v>
      </c>
      <c r="C3250" t="s">
        <v>2981</v>
      </c>
      <c r="D3250" t="s">
        <v>6168</v>
      </c>
    </row>
    <row r="3251" spans="1:4">
      <c r="A3251" t="s">
        <v>9197</v>
      </c>
      <c r="B3251">
        <v>26379</v>
      </c>
      <c r="C3251" t="s">
        <v>9198</v>
      </c>
      <c r="D3251" t="s">
        <v>6168</v>
      </c>
    </row>
    <row r="3252" spans="1:4">
      <c r="A3252" t="s">
        <v>9199</v>
      </c>
      <c r="B3252">
        <v>23437</v>
      </c>
      <c r="C3252" t="s">
        <v>9200</v>
      </c>
      <c r="D3252" t="s">
        <v>6168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9201</v>
      </c>
      <c r="B3254">
        <v>35990</v>
      </c>
      <c r="C3254" t="s">
        <v>6424</v>
      </c>
      <c r="D3254" t="s">
        <v>6168</v>
      </c>
    </row>
    <row r="3255" spans="1:4">
      <c r="A3255" t="s">
        <v>9202</v>
      </c>
      <c r="B3255">
        <v>42041</v>
      </c>
      <c r="C3255" t="s">
        <v>9203</v>
      </c>
      <c r="D3255" t="s">
        <v>6168</v>
      </c>
    </row>
    <row r="3256" spans="1:4">
      <c r="A3256" t="s">
        <v>9204</v>
      </c>
      <c r="B3256">
        <v>42042</v>
      </c>
      <c r="C3256" t="s">
        <v>9205</v>
      </c>
      <c r="D3256" t="s">
        <v>6168</v>
      </c>
    </row>
    <row r="3257" spans="1:4">
      <c r="A3257" t="s">
        <v>9206</v>
      </c>
      <c r="B3257">
        <v>41155</v>
      </c>
      <c r="C3257" t="s">
        <v>9207</v>
      </c>
      <c r="D3257" t="s">
        <v>6168</v>
      </c>
    </row>
    <row r="3258" spans="1:4">
      <c r="A3258" t="s">
        <v>9208</v>
      </c>
      <c r="B3258">
        <v>42043</v>
      </c>
      <c r="C3258" t="s">
        <v>9209</v>
      </c>
      <c r="D3258" t="s">
        <v>6168</v>
      </c>
    </row>
    <row r="3259" spans="1:4">
      <c r="A3259" t="s">
        <v>9210</v>
      </c>
      <c r="B3259">
        <v>43092</v>
      </c>
      <c r="C3259" t="s">
        <v>9211</v>
      </c>
      <c r="D3259" t="s">
        <v>6168</v>
      </c>
    </row>
    <row r="3260" spans="1:4">
      <c r="A3260" t="s">
        <v>17022</v>
      </c>
      <c r="B3260">
        <v>44280</v>
      </c>
      <c r="C3260" t="s">
        <v>9207</v>
      </c>
      <c r="D3260" t="s">
        <v>6168</v>
      </c>
    </row>
    <row r="3261" spans="1:4">
      <c r="A3261" t="s">
        <v>9212</v>
      </c>
      <c r="B3261">
        <v>41877</v>
      </c>
      <c r="C3261" t="s">
        <v>6214</v>
      </c>
      <c r="D3261" t="s">
        <v>6168</v>
      </c>
    </row>
    <row r="3262" spans="1:4">
      <c r="A3262" t="s">
        <v>9213</v>
      </c>
      <c r="B3262">
        <v>43457</v>
      </c>
      <c r="C3262" t="s">
        <v>9214</v>
      </c>
      <c r="D3262" t="s">
        <v>6168</v>
      </c>
    </row>
    <row r="3263" spans="1:4">
      <c r="A3263" t="s">
        <v>9215</v>
      </c>
      <c r="B3263">
        <v>43093</v>
      </c>
      <c r="C3263" t="s">
        <v>6214</v>
      </c>
      <c r="D3263" t="s">
        <v>6168</v>
      </c>
    </row>
    <row r="3264" spans="1:4">
      <c r="A3264" t="s">
        <v>9216</v>
      </c>
      <c r="B3264">
        <v>42044</v>
      </c>
      <c r="C3264" t="s">
        <v>9217</v>
      </c>
      <c r="D3264" t="s">
        <v>6168</v>
      </c>
    </row>
    <row r="3265" spans="1:4">
      <c r="A3265" t="s">
        <v>9218</v>
      </c>
      <c r="B3265">
        <v>746</v>
      </c>
      <c r="C3265" t="s">
        <v>8569</v>
      </c>
      <c r="D3265" t="s">
        <v>6245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9219</v>
      </c>
      <c r="B3267">
        <v>4424</v>
      </c>
      <c r="C3267" t="s">
        <v>9220</v>
      </c>
      <c r="D3267" t="s">
        <v>6168</v>
      </c>
    </row>
    <row r="3268" spans="1:4">
      <c r="A3268" t="s">
        <v>9221</v>
      </c>
      <c r="B3268">
        <v>4425</v>
      </c>
      <c r="C3268" t="s">
        <v>9222</v>
      </c>
      <c r="D3268" t="s">
        <v>6168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9223</v>
      </c>
      <c r="B3270">
        <v>30611</v>
      </c>
      <c r="C3270" t="s">
        <v>9224</v>
      </c>
      <c r="D3270" t="s">
        <v>6168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9225</v>
      </c>
      <c r="B3273">
        <v>39718</v>
      </c>
      <c r="D3273" t="s">
        <v>6241</v>
      </c>
    </row>
    <row r="3274" spans="1:4">
      <c r="A3274" t="s">
        <v>9226</v>
      </c>
      <c r="B3274">
        <v>23192</v>
      </c>
      <c r="D3274" t="s">
        <v>6292</v>
      </c>
    </row>
    <row r="3275" spans="1:4">
      <c r="A3275" t="s">
        <v>17196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9227</v>
      </c>
      <c r="B3277">
        <v>38839</v>
      </c>
      <c r="C3277" t="s">
        <v>9228</v>
      </c>
      <c r="D3277" t="s">
        <v>6168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9229</v>
      </c>
      <c r="B3279">
        <v>21931</v>
      </c>
      <c r="C3279" t="s">
        <v>6330</v>
      </c>
      <c r="D3279" t="s">
        <v>6168</v>
      </c>
    </row>
    <row r="3280" spans="1:4">
      <c r="A3280" t="s">
        <v>9230</v>
      </c>
      <c r="B3280">
        <v>21932</v>
      </c>
      <c r="C3280" t="s">
        <v>9231</v>
      </c>
      <c r="D3280" t="s">
        <v>6168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9232</v>
      </c>
      <c r="B3282">
        <v>23690</v>
      </c>
      <c r="C3282" t="s">
        <v>9233</v>
      </c>
      <c r="D3282" t="s">
        <v>6168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9234</v>
      </c>
      <c r="B3284">
        <v>23691</v>
      </c>
      <c r="D3284" t="s">
        <v>6168</v>
      </c>
    </row>
    <row r="3285" spans="1:4">
      <c r="A3285" t="s">
        <v>9235</v>
      </c>
      <c r="B3285">
        <v>24626</v>
      </c>
      <c r="C3285" t="s">
        <v>9236</v>
      </c>
      <c r="D3285" t="s">
        <v>6168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9237</v>
      </c>
      <c r="B3287">
        <v>137</v>
      </c>
      <c r="C3287" t="s">
        <v>4950</v>
      </c>
      <c r="D3287" t="s">
        <v>6168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9238</v>
      </c>
      <c r="B3289">
        <v>21934</v>
      </c>
      <c r="C3289" t="s">
        <v>6405</v>
      </c>
      <c r="D3289" t="s">
        <v>6168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9239</v>
      </c>
      <c r="B3291">
        <v>40947</v>
      </c>
      <c r="C3291" t="s">
        <v>9240</v>
      </c>
      <c r="D3291" t="s">
        <v>6168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9241</v>
      </c>
      <c r="B3296">
        <v>27423</v>
      </c>
      <c r="C3296" t="s">
        <v>9242</v>
      </c>
      <c r="D3296" t="s">
        <v>6230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9243</v>
      </c>
      <c r="B3298">
        <v>43009</v>
      </c>
      <c r="C3298" t="s">
        <v>6719</v>
      </c>
      <c r="D3298" t="s">
        <v>6168</v>
      </c>
    </row>
    <row r="3299" spans="1:4">
      <c r="A3299" t="s">
        <v>9244</v>
      </c>
      <c r="B3299">
        <v>30282</v>
      </c>
      <c r="C3299" t="s">
        <v>638</v>
      </c>
      <c r="D3299" t="s">
        <v>6168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9245</v>
      </c>
      <c r="B3302">
        <v>21936</v>
      </c>
      <c r="C3302" t="s">
        <v>9246</v>
      </c>
      <c r="D3302" t="s">
        <v>6168</v>
      </c>
    </row>
    <row r="3303" spans="1:4">
      <c r="A3303" t="s">
        <v>9247</v>
      </c>
      <c r="B3303">
        <v>21937</v>
      </c>
      <c r="C3303" t="s">
        <v>3034</v>
      </c>
      <c r="D3303" t="s">
        <v>6267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9248</v>
      </c>
      <c r="B3307">
        <v>2755</v>
      </c>
      <c r="C3307" t="s">
        <v>9249</v>
      </c>
      <c r="D3307" t="s">
        <v>6168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9250</v>
      </c>
      <c r="B3312">
        <v>3209</v>
      </c>
      <c r="D3312" t="s">
        <v>6267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9251</v>
      </c>
      <c r="B3314">
        <v>24117</v>
      </c>
      <c r="C3314" t="s">
        <v>7271</v>
      </c>
      <c r="D3314" t="s">
        <v>6168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9252</v>
      </c>
      <c r="B3316">
        <v>23195</v>
      </c>
      <c r="C3316" t="s">
        <v>1273</v>
      </c>
      <c r="D3316" t="s">
        <v>6168</v>
      </c>
    </row>
    <row r="3317" spans="1:4">
      <c r="A3317" t="s">
        <v>9253</v>
      </c>
      <c r="B3317">
        <v>4193</v>
      </c>
      <c r="C3317" t="s">
        <v>7271</v>
      </c>
      <c r="D3317" t="s">
        <v>6168</v>
      </c>
    </row>
    <row r="3318" spans="1:4">
      <c r="A3318" t="s">
        <v>9254</v>
      </c>
      <c r="B3318">
        <v>23196</v>
      </c>
      <c r="C3318" t="s">
        <v>2374</v>
      </c>
      <c r="D3318" t="s">
        <v>6168</v>
      </c>
    </row>
    <row r="3319" spans="1:4">
      <c r="A3319" t="s">
        <v>9255</v>
      </c>
      <c r="B3319">
        <v>4195</v>
      </c>
      <c r="C3319" t="s">
        <v>4950</v>
      </c>
      <c r="D3319" t="s">
        <v>6168</v>
      </c>
    </row>
    <row r="3320" spans="1:4">
      <c r="A3320" t="s">
        <v>9256</v>
      </c>
      <c r="B3320">
        <v>23645</v>
      </c>
      <c r="C3320" t="s">
        <v>9257</v>
      </c>
      <c r="D3320" t="s">
        <v>6168</v>
      </c>
    </row>
    <row r="3321" spans="1:4">
      <c r="A3321" t="s">
        <v>9258</v>
      </c>
      <c r="B3321">
        <v>4196</v>
      </c>
      <c r="C3321" t="s">
        <v>4381</v>
      </c>
      <c r="D3321" t="s">
        <v>6168</v>
      </c>
    </row>
    <row r="3322" spans="1:4">
      <c r="A3322" t="s">
        <v>9259</v>
      </c>
      <c r="B3322">
        <v>4197</v>
      </c>
      <c r="C3322" t="s">
        <v>9260</v>
      </c>
      <c r="D3322" t="s">
        <v>6168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9261</v>
      </c>
      <c r="B3324">
        <v>40539</v>
      </c>
      <c r="C3324" t="s">
        <v>4857</v>
      </c>
      <c r="D3324" t="s">
        <v>6292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9262</v>
      </c>
      <c r="B3326">
        <v>24118</v>
      </c>
      <c r="C3326" t="s">
        <v>264</v>
      </c>
      <c r="D3326" t="s">
        <v>6314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9263</v>
      </c>
      <c r="B3328">
        <v>30298</v>
      </c>
      <c r="C3328" t="s">
        <v>2659</v>
      </c>
      <c r="D3328" t="s">
        <v>6314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9264</v>
      </c>
      <c r="B3330">
        <v>31188</v>
      </c>
      <c r="C3330" t="s">
        <v>9265</v>
      </c>
      <c r="D3330" t="s">
        <v>6168</v>
      </c>
    </row>
    <row r="3331" spans="1:4">
      <c r="A3331" t="s">
        <v>9266</v>
      </c>
      <c r="B3331">
        <v>26377</v>
      </c>
      <c r="C3331" t="s">
        <v>1273</v>
      </c>
      <c r="D3331" t="s">
        <v>6168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9267</v>
      </c>
      <c r="B3333">
        <v>26376</v>
      </c>
      <c r="C3333" t="s">
        <v>1197</v>
      </c>
      <c r="D3333" t="s">
        <v>6168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9268</v>
      </c>
      <c r="B3338">
        <v>19360</v>
      </c>
      <c r="C3338" t="s">
        <v>1646</v>
      </c>
      <c r="D3338" t="s">
        <v>6168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9269</v>
      </c>
      <c r="B3340">
        <v>38251</v>
      </c>
      <c r="C3340" t="s">
        <v>9270</v>
      </c>
      <c r="D3340" t="s">
        <v>6168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9271</v>
      </c>
      <c r="B3342">
        <v>40538</v>
      </c>
      <c r="C3342" t="s">
        <v>9272</v>
      </c>
      <c r="D3342" t="s">
        <v>6168</v>
      </c>
    </row>
    <row r="3343" spans="1:4">
      <c r="A3343" t="s">
        <v>9273</v>
      </c>
      <c r="B3343">
        <v>21938</v>
      </c>
      <c r="C3343" t="s">
        <v>7145</v>
      </c>
      <c r="D3343" t="s">
        <v>6168</v>
      </c>
    </row>
    <row r="3344" spans="1:4">
      <c r="A3344" t="s">
        <v>9274</v>
      </c>
      <c r="B3344">
        <v>21939</v>
      </c>
      <c r="C3344" t="s">
        <v>9275</v>
      </c>
      <c r="D3344" t="s">
        <v>6168</v>
      </c>
    </row>
    <row r="3345" spans="1:4">
      <c r="A3345" t="s">
        <v>9276</v>
      </c>
      <c r="B3345">
        <v>4583</v>
      </c>
      <c r="C3345" t="s">
        <v>4950</v>
      </c>
      <c r="D3345" t="s">
        <v>6168</v>
      </c>
    </row>
    <row r="3346" spans="1:4">
      <c r="A3346" t="s">
        <v>9277</v>
      </c>
      <c r="B3346">
        <v>24628</v>
      </c>
      <c r="C3346" t="s">
        <v>9278</v>
      </c>
      <c r="D3346" t="s">
        <v>6168</v>
      </c>
    </row>
    <row r="3347" spans="1:4">
      <c r="A3347" t="s">
        <v>9279</v>
      </c>
      <c r="B3347">
        <v>24629</v>
      </c>
      <c r="C3347" t="s">
        <v>4950</v>
      </c>
      <c r="D3347" t="s">
        <v>6168</v>
      </c>
    </row>
    <row r="3348" spans="1:4">
      <c r="A3348" t="s">
        <v>9280</v>
      </c>
      <c r="B3348">
        <v>31302</v>
      </c>
      <c r="C3348" t="s">
        <v>9281</v>
      </c>
      <c r="D3348" t="s">
        <v>6168</v>
      </c>
    </row>
    <row r="3349" spans="1:4">
      <c r="A3349" t="s">
        <v>9282</v>
      </c>
      <c r="B3349">
        <v>21940</v>
      </c>
      <c r="C3349" t="s">
        <v>9283</v>
      </c>
      <c r="D3349" t="s">
        <v>6267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9284</v>
      </c>
      <c r="B3352">
        <v>29548</v>
      </c>
      <c r="C3352" t="s">
        <v>6558</v>
      </c>
      <c r="D3352" t="s">
        <v>6168</v>
      </c>
    </row>
    <row r="3353" spans="1:4">
      <c r="A3353" t="s">
        <v>9285</v>
      </c>
      <c r="B3353">
        <v>33953</v>
      </c>
      <c r="C3353" t="s">
        <v>9286</v>
      </c>
      <c r="D3353" t="s">
        <v>6168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9287</v>
      </c>
      <c r="B3355">
        <v>41804</v>
      </c>
      <c r="C3355" t="s">
        <v>9288</v>
      </c>
      <c r="D3355" t="s">
        <v>6168</v>
      </c>
    </row>
    <row r="3356" spans="1:4">
      <c r="A3356" t="s">
        <v>9289</v>
      </c>
      <c r="B3356">
        <v>1047</v>
      </c>
      <c r="C3356" t="s">
        <v>8660</v>
      </c>
      <c r="D3356" t="s">
        <v>6168</v>
      </c>
    </row>
    <row r="3357" spans="1:4">
      <c r="A3357" t="s">
        <v>9290</v>
      </c>
      <c r="B3357">
        <v>20619</v>
      </c>
      <c r="D3357" t="s">
        <v>6314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9291</v>
      </c>
      <c r="B3359">
        <v>41557</v>
      </c>
      <c r="C3359" t="s">
        <v>624</v>
      </c>
      <c r="D3359" t="s">
        <v>6314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9292</v>
      </c>
      <c r="B3362">
        <v>21942</v>
      </c>
      <c r="C3362" t="s">
        <v>9293</v>
      </c>
      <c r="D3362" t="s">
        <v>6168</v>
      </c>
    </row>
    <row r="3363" spans="1:4">
      <c r="A3363" t="s">
        <v>9294</v>
      </c>
      <c r="B3363">
        <v>21943</v>
      </c>
      <c r="C3363" t="s">
        <v>9295</v>
      </c>
      <c r="D3363" t="s">
        <v>6168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9296</v>
      </c>
      <c r="B3365">
        <v>30276</v>
      </c>
      <c r="D3365" t="s">
        <v>6267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9297</v>
      </c>
      <c r="B3367">
        <v>25122</v>
      </c>
      <c r="C3367" t="s">
        <v>7065</v>
      </c>
      <c r="D3367" t="s">
        <v>6168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9298</v>
      </c>
      <c r="B3369">
        <v>3966</v>
      </c>
      <c r="C3369" t="s">
        <v>4950</v>
      </c>
      <c r="D3369" t="s">
        <v>6168</v>
      </c>
    </row>
    <row r="3370" spans="1:4">
      <c r="A3370" t="s">
        <v>9299</v>
      </c>
      <c r="B3370">
        <v>26196</v>
      </c>
      <c r="D3370" t="s">
        <v>6292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9300</v>
      </c>
      <c r="B3372">
        <v>39599</v>
      </c>
      <c r="C3372" t="s">
        <v>2208</v>
      </c>
      <c r="D3372" t="s">
        <v>6267</v>
      </c>
    </row>
    <row r="3373" spans="1:4">
      <c r="A3373" t="s">
        <v>9301</v>
      </c>
      <c r="B3373">
        <v>33954</v>
      </c>
      <c r="C3373" t="s">
        <v>9302</v>
      </c>
      <c r="D3373" t="s">
        <v>6314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9303</v>
      </c>
      <c r="B3375">
        <v>3120</v>
      </c>
      <c r="D3375" t="s">
        <v>6267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9304</v>
      </c>
      <c r="B3378">
        <v>2336</v>
      </c>
      <c r="C3378" t="s">
        <v>9305</v>
      </c>
      <c r="D3378" t="s">
        <v>6168</v>
      </c>
    </row>
    <row r="3379" spans="1:4">
      <c r="A3379" t="s">
        <v>9306</v>
      </c>
      <c r="B3379">
        <v>2337</v>
      </c>
      <c r="C3379" t="s">
        <v>6568</v>
      </c>
      <c r="D3379" t="s">
        <v>6168</v>
      </c>
    </row>
    <row r="3380" spans="1:4">
      <c r="A3380" t="s">
        <v>9307</v>
      </c>
      <c r="B3380">
        <v>20677</v>
      </c>
      <c r="C3380" t="s">
        <v>9308</v>
      </c>
      <c r="D3380" t="s">
        <v>6168</v>
      </c>
    </row>
    <row r="3381" spans="1:4">
      <c r="A3381" t="s">
        <v>9309</v>
      </c>
      <c r="B3381">
        <v>2338</v>
      </c>
      <c r="C3381" t="s">
        <v>6821</v>
      </c>
      <c r="D3381" t="s">
        <v>6168</v>
      </c>
    </row>
    <row r="3382" spans="1:4">
      <c r="A3382" t="s">
        <v>9310</v>
      </c>
      <c r="B3382">
        <v>42599</v>
      </c>
      <c r="C3382" t="s">
        <v>6568</v>
      </c>
      <c r="D3382" t="s">
        <v>6168</v>
      </c>
    </row>
    <row r="3383" spans="1:4">
      <c r="A3383" t="s">
        <v>9311</v>
      </c>
      <c r="B3383">
        <v>42600</v>
      </c>
      <c r="C3383" t="s">
        <v>9312</v>
      </c>
      <c r="D3383" t="s">
        <v>6168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9313</v>
      </c>
      <c r="B3385">
        <v>3119</v>
      </c>
      <c r="D3385" t="s">
        <v>6314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9314</v>
      </c>
      <c r="B3387">
        <v>2547</v>
      </c>
      <c r="D3387" t="s">
        <v>6168</v>
      </c>
    </row>
    <row r="3388" spans="1:4">
      <c r="A3388" t="s">
        <v>9315</v>
      </c>
      <c r="B3388">
        <v>2548</v>
      </c>
      <c r="C3388" t="s">
        <v>9316</v>
      </c>
      <c r="D3388" t="s">
        <v>6168</v>
      </c>
    </row>
    <row r="3389" spans="1:4">
      <c r="A3389" t="s">
        <v>9317</v>
      </c>
      <c r="B3389">
        <v>2549</v>
      </c>
      <c r="C3389" t="s">
        <v>9318</v>
      </c>
      <c r="D3389" t="s">
        <v>6168</v>
      </c>
    </row>
    <row r="3390" spans="1:4">
      <c r="A3390" t="s">
        <v>9319</v>
      </c>
      <c r="B3390">
        <v>2550</v>
      </c>
      <c r="C3390" t="s">
        <v>9320</v>
      </c>
      <c r="D3390" t="s">
        <v>6168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9321</v>
      </c>
      <c r="B3393">
        <v>3076</v>
      </c>
      <c r="C3393" t="s">
        <v>9322</v>
      </c>
      <c r="D3393" t="s">
        <v>6168</v>
      </c>
    </row>
    <row r="3394" spans="1:4">
      <c r="A3394" t="s">
        <v>9323</v>
      </c>
      <c r="B3394">
        <v>1057</v>
      </c>
      <c r="C3394" t="s">
        <v>9324</v>
      </c>
      <c r="D3394" t="s">
        <v>6168</v>
      </c>
    </row>
    <row r="3395" spans="1:4">
      <c r="A3395" t="s">
        <v>9325</v>
      </c>
      <c r="B3395">
        <v>1058</v>
      </c>
      <c r="C3395" t="s">
        <v>9326</v>
      </c>
      <c r="D3395" t="s">
        <v>6168</v>
      </c>
    </row>
    <row r="3396" spans="1:4">
      <c r="A3396" t="s">
        <v>9327</v>
      </c>
      <c r="B3396">
        <v>1059</v>
      </c>
      <c r="C3396" t="s">
        <v>9326</v>
      </c>
      <c r="D3396" t="s">
        <v>6168</v>
      </c>
    </row>
    <row r="3397" spans="1:4">
      <c r="A3397" t="s">
        <v>9328</v>
      </c>
      <c r="B3397">
        <v>1060</v>
      </c>
      <c r="C3397" t="s">
        <v>9329</v>
      </c>
      <c r="D3397" t="s">
        <v>6168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9330</v>
      </c>
      <c r="B3402">
        <v>621</v>
      </c>
      <c r="C3402" t="s">
        <v>2016</v>
      </c>
      <c r="D3402" t="s">
        <v>6168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9331</v>
      </c>
      <c r="B3404">
        <v>31187</v>
      </c>
      <c r="C3404" t="s">
        <v>4950</v>
      </c>
      <c r="D3404" t="s">
        <v>6168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9332</v>
      </c>
      <c r="B3406">
        <v>24360</v>
      </c>
      <c r="C3406" t="s">
        <v>9333</v>
      </c>
      <c r="D3406" t="s">
        <v>6168</v>
      </c>
    </row>
    <row r="3407" spans="1:4">
      <c r="A3407" t="s">
        <v>9334</v>
      </c>
      <c r="B3407">
        <v>25753</v>
      </c>
      <c r="C3407" t="s">
        <v>9333</v>
      </c>
      <c r="D3407" t="s">
        <v>6168</v>
      </c>
    </row>
    <row r="3408" spans="1:4">
      <c r="A3408" t="s">
        <v>16847</v>
      </c>
      <c r="B3408">
        <v>43898</v>
      </c>
      <c r="C3408" t="s">
        <v>16848</v>
      </c>
      <c r="D3408" t="s">
        <v>6168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9335</v>
      </c>
      <c r="B3410">
        <v>25405</v>
      </c>
      <c r="C3410" t="s">
        <v>9336</v>
      </c>
      <c r="D3410" t="s">
        <v>6168</v>
      </c>
    </row>
    <row r="3411" spans="1:4">
      <c r="A3411" t="s">
        <v>9337</v>
      </c>
      <c r="B3411">
        <v>42933</v>
      </c>
      <c r="C3411" t="s">
        <v>9336</v>
      </c>
      <c r="D3411" t="s">
        <v>6168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9338</v>
      </c>
      <c r="B3413">
        <v>29728</v>
      </c>
      <c r="C3413" t="s">
        <v>8466</v>
      </c>
      <c r="D3413" t="s">
        <v>6168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9339</v>
      </c>
      <c r="B3415">
        <v>43458</v>
      </c>
      <c r="C3415" t="s">
        <v>9340</v>
      </c>
      <c r="D3415" t="s">
        <v>123</v>
      </c>
    </row>
    <row r="3416" spans="1:4">
      <c r="A3416" t="s">
        <v>16849</v>
      </c>
      <c r="B3416">
        <v>43899</v>
      </c>
      <c r="C3416" t="s">
        <v>16850</v>
      </c>
      <c r="D3416" t="s">
        <v>6168</v>
      </c>
    </row>
    <row r="3417" spans="1:4">
      <c r="A3417" t="s">
        <v>9341</v>
      </c>
      <c r="B3417">
        <v>39495</v>
      </c>
      <c r="C3417" t="s">
        <v>9342</v>
      </c>
      <c r="D3417" t="s">
        <v>6267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9343</v>
      </c>
      <c r="B3419">
        <v>40945</v>
      </c>
      <c r="C3419" t="s">
        <v>9344</v>
      </c>
      <c r="D3419" t="s">
        <v>6168</v>
      </c>
    </row>
    <row r="3420" spans="1:4">
      <c r="A3420" t="s">
        <v>9345</v>
      </c>
      <c r="B3420">
        <v>21944</v>
      </c>
      <c r="D3420" t="s">
        <v>6267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9346</v>
      </c>
      <c r="B3422">
        <v>25851</v>
      </c>
      <c r="C3422" t="s">
        <v>923</v>
      </c>
      <c r="D3422" t="s">
        <v>6168</v>
      </c>
    </row>
    <row r="3423" spans="1:4">
      <c r="A3423" t="s">
        <v>9347</v>
      </c>
      <c r="B3423">
        <v>21945</v>
      </c>
      <c r="C3423" t="s">
        <v>9348</v>
      </c>
      <c r="D3423" t="s">
        <v>6449</v>
      </c>
    </row>
    <row r="3424" spans="1:4">
      <c r="A3424" t="s">
        <v>9349</v>
      </c>
      <c r="B3424">
        <v>20493</v>
      </c>
      <c r="C3424" t="s">
        <v>503</v>
      </c>
      <c r="D3424" t="s">
        <v>6168</v>
      </c>
    </row>
    <row r="3425" spans="1:4">
      <c r="A3425" t="s">
        <v>9350</v>
      </c>
      <c r="B3425">
        <v>25850</v>
      </c>
      <c r="C3425" t="s">
        <v>7124</v>
      </c>
      <c r="D3425" t="s">
        <v>6168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9351</v>
      </c>
      <c r="B3427">
        <v>2396</v>
      </c>
      <c r="C3427" t="s">
        <v>409</v>
      </c>
      <c r="D3427" t="s">
        <v>6267</v>
      </c>
    </row>
    <row r="3428" spans="1:4">
      <c r="A3428" t="s">
        <v>9352</v>
      </c>
      <c r="B3428">
        <v>20580</v>
      </c>
      <c r="C3428" t="s">
        <v>409</v>
      </c>
      <c r="D3428" t="s">
        <v>6305</v>
      </c>
    </row>
    <row r="3429" spans="1:4">
      <c r="A3429" t="s">
        <v>9353</v>
      </c>
      <c r="B3429">
        <v>21946</v>
      </c>
      <c r="D3429" t="s">
        <v>6314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9354</v>
      </c>
      <c r="B3431">
        <v>2512</v>
      </c>
      <c r="C3431" t="s">
        <v>9355</v>
      </c>
      <c r="D3431" t="s">
        <v>6168</v>
      </c>
    </row>
    <row r="3432" spans="1:4">
      <c r="A3432" t="s">
        <v>9356</v>
      </c>
      <c r="B3432">
        <v>24006</v>
      </c>
      <c r="C3432" t="s">
        <v>9357</v>
      </c>
      <c r="D3432" t="s">
        <v>6168</v>
      </c>
    </row>
    <row r="3433" spans="1:4">
      <c r="A3433" t="s">
        <v>9358</v>
      </c>
      <c r="B3433">
        <v>20581</v>
      </c>
      <c r="C3433" t="s">
        <v>1273</v>
      </c>
      <c r="D3433" t="s">
        <v>6168</v>
      </c>
    </row>
    <row r="3434" spans="1:4">
      <c r="A3434" t="s">
        <v>9359</v>
      </c>
      <c r="B3434">
        <v>2510</v>
      </c>
      <c r="C3434" t="s">
        <v>1273</v>
      </c>
      <c r="D3434" t="s">
        <v>6168</v>
      </c>
    </row>
    <row r="3435" spans="1:4">
      <c r="A3435" t="s">
        <v>9360</v>
      </c>
      <c r="B3435">
        <v>2511</v>
      </c>
      <c r="C3435" t="s">
        <v>2775</v>
      </c>
      <c r="D3435" t="s">
        <v>6168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9361</v>
      </c>
      <c r="B3437">
        <v>3977</v>
      </c>
      <c r="C3437" t="s">
        <v>1466</v>
      </c>
      <c r="D3437" t="s">
        <v>6168</v>
      </c>
    </row>
    <row r="3438" spans="1:4">
      <c r="A3438" t="s">
        <v>9362</v>
      </c>
      <c r="B3438">
        <v>3982</v>
      </c>
      <c r="C3438" t="s">
        <v>9363</v>
      </c>
      <c r="D3438" t="s">
        <v>6168</v>
      </c>
    </row>
    <row r="3439" spans="1:4">
      <c r="A3439" t="s">
        <v>9364</v>
      </c>
      <c r="B3439">
        <v>3981</v>
      </c>
      <c r="C3439" t="s">
        <v>6805</v>
      </c>
      <c r="D3439" t="s">
        <v>6168</v>
      </c>
    </row>
    <row r="3440" spans="1:4">
      <c r="A3440" t="s">
        <v>9365</v>
      </c>
      <c r="B3440">
        <v>3980</v>
      </c>
      <c r="C3440" t="s">
        <v>9366</v>
      </c>
      <c r="D3440" t="s">
        <v>6168</v>
      </c>
    </row>
    <row r="3441" spans="1:4">
      <c r="A3441" t="s">
        <v>9367</v>
      </c>
      <c r="B3441">
        <v>3979</v>
      </c>
      <c r="C3441" t="s">
        <v>9368</v>
      </c>
      <c r="D3441" t="s">
        <v>6168</v>
      </c>
    </row>
    <row r="3442" spans="1:4">
      <c r="A3442" t="s">
        <v>9369</v>
      </c>
      <c r="B3442">
        <v>3978</v>
      </c>
      <c r="C3442" t="s">
        <v>6914</v>
      </c>
      <c r="D3442" t="s">
        <v>6168</v>
      </c>
    </row>
    <row r="3443" spans="1:4">
      <c r="A3443" t="s">
        <v>9370</v>
      </c>
      <c r="B3443">
        <v>3983</v>
      </c>
      <c r="C3443" t="s">
        <v>6190</v>
      </c>
      <c r="D3443" t="s">
        <v>6168</v>
      </c>
    </row>
    <row r="3444" spans="1:4">
      <c r="A3444" t="s">
        <v>9371</v>
      </c>
      <c r="B3444">
        <v>24632</v>
      </c>
      <c r="C3444" t="s">
        <v>2350</v>
      </c>
      <c r="D3444" t="s">
        <v>6267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9372</v>
      </c>
      <c r="B3446">
        <v>21948</v>
      </c>
      <c r="C3446" t="s">
        <v>723</v>
      </c>
      <c r="D3446" t="s">
        <v>6168</v>
      </c>
    </row>
    <row r="3447" spans="1:4">
      <c r="A3447" t="s">
        <v>9373</v>
      </c>
      <c r="B3447">
        <v>21949</v>
      </c>
      <c r="C3447" t="s">
        <v>567</v>
      </c>
      <c r="D3447" t="s">
        <v>6168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9374</v>
      </c>
      <c r="B3449">
        <v>21951</v>
      </c>
      <c r="C3449" t="s">
        <v>9375</v>
      </c>
      <c r="D3449" t="s">
        <v>6168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9376</v>
      </c>
      <c r="B3451">
        <v>9773</v>
      </c>
      <c r="C3451" t="s">
        <v>1513</v>
      </c>
      <c r="D3451" t="s">
        <v>6168</v>
      </c>
    </row>
    <row r="3452" spans="1:4">
      <c r="A3452" t="s">
        <v>9377</v>
      </c>
      <c r="B3452">
        <v>42601</v>
      </c>
      <c r="C3452" t="s">
        <v>6568</v>
      </c>
      <c r="D3452" t="s">
        <v>6168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9378</v>
      </c>
      <c r="B3454">
        <v>422</v>
      </c>
      <c r="C3454" t="s">
        <v>9379</v>
      </c>
      <c r="D3454" t="s">
        <v>6168</v>
      </c>
    </row>
    <row r="3455" spans="1:4">
      <c r="A3455" t="s">
        <v>9380</v>
      </c>
      <c r="B3455">
        <v>423</v>
      </c>
      <c r="C3455" t="s">
        <v>6817</v>
      </c>
      <c r="D3455" t="s">
        <v>6168</v>
      </c>
    </row>
    <row r="3456" spans="1:4">
      <c r="A3456" t="s">
        <v>9381</v>
      </c>
      <c r="B3456">
        <v>424</v>
      </c>
      <c r="C3456" t="s">
        <v>6519</v>
      </c>
      <c r="D3456" t="s">
        <v>6168</v>
      </c>
    </row>
    <row r="3457" spans="1:4">
      <c r="A3457" t="s">
        <v>9382</v>
      </c>
      <c r="B3457">
        <v>2390</v>
      </c>
      <c r="C3457" t="s">
        <v>9383</v>
      </c>
      <c r="D3457" t="s">
        <v>6168</v>
      </c>
    </row>
    <row r="3458" spans="1:4">
      <c r="A3458" t="s">
        <v>9384</v>
      </c>
      <c r="B3458">
        <v>425</v>
      </c>
      <c r="C3458" t="s">
        <v>6760</v>
      </c>
      <c r="D3458" t="s">
        <v>6168</v>
      </c>
    </row>
    <row r="3459" spans="1:4">
      <c r="A3459" t="s">
        <v>9385</v>
      </c>
      <c r="B3459">
        <v>426</v>
      </c>
      <c r="C3459" t="s">
        <v>6519</v>
      </c>
      <c r="D3459" t="s">
        <v>6168</v>
      </c>
    </row>
    <row r="3460" spans="1:4">
      <c r="A3460" t="s">
        <v>9386</v>
      </c>
      <c r="B3460">
        <v>25586</v>
      </c>
      <c r="C3460" t="s">
        <v>16691</v>
      </c>
      <c r="D3460" t="s">
        <v>6168</v>
      </c>
    </row>
    <row r="3461" spans="1:4">
      <c r="A3461" t="s">
        <v>9387</v>
      </c>
      <c r="B3461">
        <v>427</v>
      </c>
      <c r="C3461" t="s">
        <v>7449</v>
      </c>
      <c r="D3461" t="s">
        <v>6168</v>
      </c>
    </row>
    <row r="3462" spans="1:4">
      <c r="A3462" t="s">
        <v>9388</v>
      </c>
      <c r="B3462">
        <v>428</v>
      </c>
      <c r="C3462" t="s">
        <v>16667</v>
      </c>
      <c r="D3462" t="s">
        <v>6168</v>
      </c>
    </row>
    <row r="3463" spans="1:4">
      <c r="A3463" t="s">
        <v>9389</v>
      </c>
      <c r="B3463">
        <v>429</v>
      </c>
      <c r="D3463" t="s">
        <v>6168</v>
      </c>
    </row>
    <row r="3464" spans="1:4">
      <c r="A3464" t="s">
        <v>9390</v>
      </c>
      <c r="B3464">
        <v>430</v>
      </c>
      <c r="C3464" t="s">
        <v>8148</v>
      </c>
      <c r="D3464" t="s">
        <v>6168</v>
      </c>
    </row>
    <row r="3465" spans="1:4">
      <c r="A3465" t="s">
        <v>9391</v>
      </c>
      <c r="B3465">
        <v>431</v>
      </c>
      <c r="C3465" t="s">
        <v>9392</v>
      </c>
      <c r="D3465" t="s">
        <v>6168</v>
      </c>
    </row>
    <row r="3466" spans="1:4">
      <c r="A3466" t="s">
        <v>9393</v>
      </c>
      <c r="B3466">
        <v>432</v>
      </c>
      <c r="C3466" t="s">
        <v>6760</v>
      </c>
      <c r="D3466" t="s">
        <v>6168</v>
      </c>
    </row>
    <row r="3467" spans="1:4">
      <c r="A3467" t="s">
        <v>9394</v>
      </c>
      <c r="B3467">
        <v>433</v>
      </c>
      <c r="C3467" t="s">
        <v>9395</v>
      </c>
      <c r="D3467" t="s">
        <v>6168</v>
      </c>
    </row>
    <row r="3468" spans="1:4">
      <c r="A3468" t="s">
        <v>9396</v>
      </c>
      <c r="B3468">
        <v>3180</v>
      </c>
      <c r="C3468" t="s">
        <v>9397</v>
      </c>
      <c r="D3468" t="s">
        <v>6168</v>
      </c>
    </row>
    <row r="3469" spans="1:4">
      <c r="A3469" t="s">
        <v>9398</v>
      </c>
      <c r="B3469">
        <v>434</v>
      </c>
      <c r="C3469" t="s">
        <v>9399</v>
      </c>
      <c r="D3469" t="s">
        <v>6168</v>
      </c>
    </row>
    <row r="3470" spans="1:4">
      <c r="A3470" t="s">
        <v>9400</v>
      </c>
      <c r="B3470">
        <v>435</v>
      </c>
      <c r="D3470" t="s">
        <v>6168</v>
      </c>
    </row>
    <row r="3471" spans="1:4">
      <c r="A3471" t="s">
        <v>9401</v>
      </c>
      <c r="B3471">
        <v>436</v>
      </c>
      <c r="D3471" t="s">
        <v>6168</v>
      </c>
    </row>
    <row r="3472" spans="1:4">
      <c r="A3472" t="s">
        <v>9402</v>
      </c>
      <c r="B3472">
        <v>31053</v>
      </c>
      <c r="C3472" t="s">
        <v>9403</v>
      </c>
      <c r="D3472" t="s">
        <v>6168</v>
      </c>
    </row>
    <row r="3473" spans="1:4">
      <c r="A3473" t="s">
        <v>9404</v>
      </c>
      <c r="B3473">
        <v>438</v>
      </c>
      <c r="C3473" t="s">
        <v>9405</v>
      </c>
      <c r="D3473" t="s">
        <v>6168</v>
      </c>
    </row>
    <row r="3474" spans="1:4">
      <c r="A3474" t="s">
        <v>9406</v>
      </c>
      <c r="B3474">
        <v>437</v>
      </c>
      <c r="C3474" t="s">
        <v>9407</v>
      </c>
      <c r="D3474" t="s">
        <v>6168</v>
      </c>
    </row>
    <row r="3475" spans="1:4">
      <c r="A3475" t="s">
        <v>9408</v>
      </c>
      <c r="B3475">
        <v>439</v>
      </c>
      <c r="C3475" t="s">
        <v>9409</v>
      </c>
      <c r="D3475" t="s">
        <v>6168</v>
      </c>
    </row>
    <row r="3476" spans="1:4">
      <c r="A3476" t="s">
        <v>9410</v>
      </c>
      <c r="B3476">
        <v>440</v>
      </c>
      <c r="C3476" t="s">
        <v>9411</v>
      </c>
      <c r="D3476" t="s">
        <v>6168</v>
      </c>
    </row>
    <row r="3477" spans="1:4">
      <c r="A3477" t="s">
        <v>9412</v>
      </c>
      <c r="B3477">
        <v>441</v>
      </c>
      <c r="C3477" t="s">
        <v>6519</v>
      </c>
      <c r="D3477" t="s">
        <v>6168</v>
      </c>
    </row>
    <row r="3478" spans="1:4">
      <c r="A3478" t="s">
        <v>9413</v>
      </c>
      <c r="B3478">
        <v>442</v>
      </c>
      <c r="C3478" t="s">
        <v>8148</v>
      </c>
      <c r="D3478" t="s">
        <v>6168</v>
      </c>
    </row>
    <row r="3479" spans="1:4">
      <c r="A3479" t="s">
        <v>9414</v>
      </c>
      <c r="B3479">
        <v>23695</v>
      </c>
      <c r="C3479" t="s">
        <v>4917</v>
      </c>
      <c r="D3479" t="s">
        <v>6243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6248</v>
      </c>
    </row>
    <row r="3482" spans="1:4">
      <c r="A3482" t="s">
        <v>9415</v>
      </c>
      <c r="B3482">
        <v>30812</v>
      </c>
      <c r="C3482" t="s">
        <v>8163</v>
      </c>
      <c r="D3482" t="s">
        <v>6168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9416</v>
      </c>
      <c r="B3485">
        <v>25123</v>
      </c>
      <c r="C3485" t="s">
        <v>8084</v>
      </c>
      <c r="D3485" t="s">
        <v>6292</v>
      </c>
    </row>
    <row r="3486" spans="1:4">
      <c r="A3486" t="s">
        <v>9417</v>
      </c>
      <c r="B3486">
        <v>39649</v>
      </c>
      <c r="C3486" t="s">
        <v>9418</v>
      </c>
      <c r="D3486" t="s">
        <v>6267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9419</v>
      </c>
      <c r="B3488">
        <v>25406</v>
      </c>
      <c r="C3488" t="s">
        <v>6914</v>
      </c>
      <c r="D3488" t="s">
        <v>6168</v>
      </c>
    </row>
    <row r="3489" spans="1:4">
      <c r="A3489" t="s">
        <v>9420</v>
      </c>
      <c r="B3489">
        <v>30265</v>
      </c>
      <c r="C3489" t="s">
        <v>9421</v>
      </c>
      <c r="D3489" t="s">
        <v>6168</v>
      </c>
    </row>
    <row r="3490" spans="1:4">
      <c r="A3490" t="s">
        <v>9422</v>
      </c>
      <c r="B3490">
        <v>26374</v>
      </c>
      <c r="C3490" t="s">
        <v>9423</v>
      </c>
      <c r="D3490" t="s">
        <v>6168</v>
      </c>
    </row>
    <row r="3491" spans="1:4">
      <c r="A3491" t="s">
        <v>16851</v>
      </c>
      <c r="B3491">
        <v>43901</v>
      </c>
      <c r="C3491" t="s">
        <v>3925</v>
      </c>
      <c r="D3491" t="s">
        <v>6168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9424</v>
      </c>
      <c r="B3494">
        <v>25463</v>
      </c>
      <c r="C3494" t="s">
        <v>2775</v>
      </c>
      <c r="D3494" t="s">
        <v>6168</v>
      </c>
    </row>
    <row r="3495" spans="1:4">
      <c r="A3495" t="s">
        <v>9425</v>
      </c>
      <c r="B3495">
        <v>4176</v>
      </c>
      <c r="C3495" t="s">
        <v>9426</v>
      </c>
      <c r="D3495" t="s">
        <v>6872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9427</v>
      </c>
      <c r="B3497">
        <v>29888</v>
      </c>
      <c r="C3497" t="s">
        <v>3560</v>
      </c>
      <c r="D3497" t="s">
        <v>6168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9428</v>
      </c>
      <c r="B3499">
        <v>889</v>
      </c>
      <c r="C3499" t="s">
        <v>9429</v>
      </c>
      <c r="D3499" t="s">
        <v>6168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9430</v>
      </c>
      <c r="B3501">
        <v>25026</v>
      </c>
      <c r="C3501" t="s">
        <v>9431</v>
      </c>
      <c r="D3501" t="s">
        <v>6168</v>
      </c>
    </row>
    <row r="3502" spans="1:4">
      <c r="A3502" t="s">
        <v>9432</v>
      </c>
      <c r="B3502">
        <v>22938</v>
      </c>
      <c r="C3502" t="s">
        <v>7348</v>
      </c>
      <c r="D3502" t="s">
        <v>6168</v>
      </c>
    </row>
    <row r="3503" spans="1:4">
      <c r="A3503" t="s">
        <v>9433</v>
      </c>
      <c r="B3503">
        <v>22939</v>
      </c>
      <c r="C3503" t="s">
        <v>9434</v>
      </c>
      <c r="D3503" t="s">
        <v>6168</v>
      </c>
    </row>
    <row r="3504" spans="1:4">
      <c r="A3504" t="s">
        <v>9435</v>
      </c>
      <c r="B3504">
        <v>890</v>
      </c>
      <c r="C3504" t="s">
        <v>9436</v>
      </c>
      <c r="D3504" t="s">
        <v>6168</v>
      </c>
    </row>
    <row r="3505" spans="1:4">
      <c r="A3505" t="s">
        <v>9437</v>
      </c>
      <c r="B3505">
        <v>22922</v>
      </c>
      <c r="C3505" t="s">
        <v>9438</v>
      </c>
      <c r="D3505" t="s">
        <v>6168</v>
      </c>
    </row>
    <row r="3506" spans="1:4">
      <c r="A3506" t="s">
        <v>9439</v>
      </c>
      <c r="B3506">
        <v>891</v>
      </c>
      <c r="C3506" t="s">
        <v>9440</v>
      </c>
      <c r="D3506" t="s">
        <v>6168</v>
      </c>
    </row>
    <row r="3507" spans="1:4">
      <c r="A3507" t="s">
        <v>9441</v>
      </c>
      <c r="B3507">
        <v>34235</v>
      </c>
      <c r="C3507" t="s">
        <v>9442</v>
      </c>
      <c r="D3507" t="s">
        <v>6168</v>
      </c>
    </row>
    <row r="3508" spans="1:4">
      <c r="A3508" t="s">
        <v>9443</v>
      </c>
      <c r="B3508">
        <v>24960</v>
      </c>
      <c r="C3508" t="s">
        <v>9444</v>
      </c>
      <c r="D3508" t="s">
        <v>6168</v>
      </c>
    </row>
    <row r="3509" spans="1:4">
      <c r="A3509" t="s">
        <v>9445</v>
      </c>
      <c r="B3509">
        <v>25027</v>
      </c>
      <c r="C3509" t="s">
        <v>9446</v>
      </c>
      <c r="D3509" t="s">
        <v>6168</v>
      </c>
    </row>
    <row r="3510" spans="1:4">
      <c r="A3510" t="s">
        <v>9447</v>
      </c>
      <c r="B3510">
        <v>4546</v>
      </c>
      <c r="C3510" t="s">
        <v>4917</v>
      </c>
      <c r="D3510" t="s">
        <v>6245</v>
      </c>
    </row>
    <row r="3511" spans="1:4">
      <c r="A3511" t="s">
        <v>9448</v>
      </c>
      <c r="B3511">
        <v>4180</v>
      </c>
      <c r="C3511" t="s">
        <v>3560</v>
      </c>
      <c r="D3511" t="s">
        <v>6605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16852</v>
      </c>
      <c r="B3513">
        <v>43902</v>
      </c>
      <c r="C3513" t="s">
        <v>4950</v>
      </c>
      <c r="D3513" t="s">
        <v>6168</v>
      </c>
    </row>
    <row r="3514" spans="1:4">
      <c r="A3514" t="s">
        <v>9449</v>
      </c>
      <c r="B3514">
        <v>30859</v>
      </c>
      <c r="C3514" t="s">
        <v>9450</v>
      </c>
      <c r="D3514" t="s">
        <v>6168</v>
      </c>
    </row>
    <row r="3515" spans="1:4">
      <c r="A3515" t="s">
        <v>17060</v>
      </c>
      <c r="B3515">
        <v>44317</v>
      </c>
      <c r="C3515" t="s">
        <v>5827</v>
      </c>
      <c r="D3515" t="s">
        <v>6168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9451</v>
      </c>
      <c r="B3518">
        <v>21953</v>
      </c>
      <c r="C3518" t="s">
        <v>9452</v>
      </c>
      <c r="D3518" t="s">
        <v>6168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9453</v>
      </c>
      <c r="B3520">
        <v>36036</v>
      </c>
      <c r="C3520" t="s">
        <v>6601</v>
      </c>
      <c r="D3520" t="s">
        <v>6168</v>
      </c>
    </row>
    <row r="3521" spans="1:4">
      <c r="A3521" t="s">
        <v>9454</v>
      </c>
      <c r="B3521">
        <v>36041</v>
      </c>
      <c r="C3521" t="s">
        <v>9455</v>
      </c>
      <c r="D3521" t="s">
        <v>6168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16853</v>
      </c>
      <c r="B3523">
        <v>43903</v>
      </c>
      <c r="C3523" t="s">
        <v>16854</v>
      </c>
      <c r="D3523" t="s">
        <v>6168</v>
      </c>
    </row>
    <row r="3524" spans="1:4">
      <c r="A3524" t="s">
        <v>9456</v>
      </c>
      <c r="B3524">
        <v>36043</v>
      </c>
      <c r="C3524" t="s">
        <v>6330</v>
      </c>
      <c r="D3524" t="s">
        <v>6168</v>
      </c>
    </row>
    <row r="3525" spans="1:4">
      <c r="A3525" t="s">
        <v>9457</v>
      </c>
      <c r="B3525">
        <v>41156</v>
      </c>
      <c r="C3525" t="s">
        <v>5837</v>
      </c>
      <c r="D3525" t="s">
        <v>6168</v>
      </c>
    </row>
    <row r="3526" spans="1:4">
      <c r="A3526" t="s">
        <v>9458</v>
      </c>
      <c r="B3526">
        <v>42045</v>
      </c>
      <c r="C3526" t="s">
        <v>461</v>
      </c>
      <c r="D3526" t="s">
        <v>6168</v>
      </c>
    </row>
    <row r="3527" spans="1:4">
      <c r="A3527" t="s">
        <v>9459</v>
      </c>
      <c r="B3527">
        <v>41157</v>
      </c>
      <c r="C3527" t="s">
        <v>9460</v>
      </c>
      <c r="D3527" t="s">
        <v>6168</v>
      </c>
    </row>
    <row r="3528" spans="1:4">
      <c r="A3528" t="s">
        <v>9461</v>
      </c>
      <c r="B3528">
        <v>41158</v>
      </c>
      <c r="C3528" t="s">
        <v>9462</v>
      </c>
      <c r="D3528" t="s">
        <v>6168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16855</v>
      </c>
      <c r="B3530">
        <v>43904</v>
      </c>
      <c r="C3530" t="s">
        <v>5827</v>
      </c>
      <c r="D3530" t="s">
        <v>6168</v>
      </c>
    </row>
    <row r="3531" spans="1:4">
      <c r="A3531" t="s">
        <v>9463</v>
      </c>
      <c r="B3531">
        <v>43054</v>
      </c>
      <c r="C3531" t="s">
        <v>9450</v>
      </c>
      <c r="D3531" t="s">
        <v>6168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9464</v>
      </c>
      <c r="B3533">
        <v>43109</v>
      </c>
      <c r="C3533" t="s">
        <v>9465</v>
      </c>
      <c r="D3533" t="s">
        <v>6168</v>
      </c>
    </row>
    <row r="3534" spans="1:4">
      <c r="A3534" t="s">
        <v>9466</v>
      </c>
      <c r="B3534">
        <v>35505</v>
      </c>
      <c r="C3534" t="s">
        <v>4950</v>
      </c>
      <c r="D3534" t="s">
        <v>6168</v>
      </c>
    </row>
    <row r="3535" spans="1:4">
      <c r="A3535" t="s">
        <v>9467</v>
      </c>
      <c r="B3535">
        <v>4179</v>
      </c>
      <c r="D3535" t="s">
        <v>7283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9468</v>
      </c>
      <c r="B3537">
        <v>29312</v>
      </c>
      <c r="C3537" t="s">
        <v>1273</v>
      </c>
      <c r="D3537" t="s">
        <v>6168</v>
      </c>
    </row>
    <row r="3538" spans="1:4">
      <c r="A3538" t="s">
        <v>9469</v>
      </c>
      <c r="B3538">
        <v>30278</v>
      </c>
      <c r="D3538" t="s">
        <v>6872</v>
      </c>
    </row>
    <row r="3539" spans="1:4">
      <c r="A3539" t="s">
        <v>9470</v>
      </c>
      <c r="B3539">
        <v>39615</v>
      </c>
      <c r="D3539" t="s">
        <v>6230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9471</v>
      </c>
      <c r="B3541">
        <v>31089</v>
      </c>
      <c r="C3541" t="s">
        <v>9472</v>
      </c>
      <c r="D3541" t="s">
        <v>6605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9473</v>
      </c>
      <c r="B3543">
        <v>19330</v>
      </c>
      <c r="D3543" t="s">
        <v>6168</v>
      </c>
    </row>
    <row r="3544" spans="1:4">
      <c r="A3544" t="s">
        <v>9474</v>
      </c>
      <c r="B3544">
        <v>19331</v>
      </c>
      <c r="D3544" t="s">
        <v>6168</v>
      </c>
    </row>
    <row r="3545" spans="1:4">
      <c r="A3545" t="s">
        <v>9475</v>
      </c>
      <c r="B3545">
        <v>19332</v>
      </c>
      <c r="D3545" t="s">
        <v>6168</v>
      </c>
    </row>
    <row r="3546" spans="1:4">
      <c r="A3546" t="s">
        <v>9476</v>
      </c>
      <c r="B3546">
        <v>19333</v>
      </c>
      <c r="D3546" t="s">
        <v>6168</v>
      </c>
    </row>
    <row r="3547" spans="1:4">
      <c r="A3547" t="s">
        <v>9477</v>
      </c>
      <c r="B3547">
        <v>19334</v>
      </c>
      <c r="C3547" t="s">
        <v>9478</v>
      </c>
      <c r="D3547" t="s">
        <v>6168</v>
      </c>
    </row>
    <row r="3548" spans="1:4">
      <c r="A3548" t="s">
        <v>9479</v>
      </c>
      <c r="B3548">
        <v>19335</v>
      </c>
      <c r="D3548" t="s">
        <v>6168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9480</v>
      </c>
      <c r="B3551">
        <v>43680</v>
      </c>
      <c r="C3551" t="s">
        <v>1587</v>
      </c>
      <c r="D3551" t="s">
        <v>6168</v>
      </c>
    </row>
    <row r="3552" spans="1:4">
      <c r="A3552" t="s">
        <v>9481</v>
      </c>
      <c r="B3552">
        <v>250</v>
      </c>
      <c r="C3552" t="s">
        <v>7124</v>
      </c>
      <c r="D3552" t="s">
        <v>6168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9482</v>
      </c>
      <c r="B3557">
        <v>4449</v>
      </c>
      <c r="C3557" t="s">
        <v>7683</v>
      </c>
      <c r="D3557" t="s">
        <v>6168</v>
      </c>
    </row>
    <row r="3558" spans="1:4">
      <c r="A3558" t="s">
        <v>9483</v>
      </c>
      <c r="B3558">
        <v>30249</v>
      </c>
      <c r="C3558" t="s">
        <v>6601</v>
      </c>
      <c r="D3558" t="s">
        <v>6168</v>
      </c>
    </row>
    <row r="3559" spans="1:4">
      <c r="A3559" t="s">
        <v>9484</v>
      </c>
      <c r="B3559">
        <v>20717</v>
      </c>
      <c r="D3559" t="s">
        <v>6605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9485</v>
      </c>
      <c r="B3561">
        <v>24633</v>
      </c>
      <c r="C3561" t="s">
        <v>9486</v>
      </c>
      <c r="D3561" t="s">
        <v>6168</v>
      </c>
    </row>
    <row r="3562" spans="1:4">
      <c r="A3562" t="s">
        <v>9487</v>
      </c>
      <c r="B3562">
        <v>43460</v>
      </c>
      <c r="C3562" t="s">
        <v>9488</v>
      </c>
      <c r="D3562" t="s">
        <v>6168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9489</v>
      </c>
      <c r="B3564">
        <v>31477</v>
      </c>
      <c r="C3564" t="s">
        <v>9490</v>
      </c>
      <c r="D3564" t="s">
        <v>6168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9491</v>
      </c>
      <c r="B3567">
        <v>29340</v>
      </c>
      <c r="C3567" t="s">
        <v>8013</v>
      </c>
      <c r="D3567" t="s">
        <v>6168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9492</v>
      </c>
      <c r="B3570">
        <v>33965</v>
      </c>
      <c r="C3570" t="s">
        <v>16690</v>
      </c>
      <c r="D3570" t="s">
        <v>6168</v>
      </c>
    </row>
    <row r="3571" spans="1:4">
      <c r="A3571" t="s">
        <v>9493</v>
      </c>
      <c r="B3571">
        <v>4473</v>
      </c>
      <c r="C3571" t="s">
        <v>9494</v>
      </c>
      <c r="D3571" t="s">
        <v>6168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9495</v>
      </c>
      <c r="B3574">
        <v>939</v>
      </c>
      <c r="C3574" t="s">
        <v>9496</v>
      </c>
      <c r="D3574" t="s">
        <v>6168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9497</v>
      </c>
      <c r="B3576">
        <v>30614</v>
      </c>
      <c r="C3576" t="s">
        <v>9498</v>
      </c>
      <c r="D3576" t="s">
        <v>6168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9499</v>
      </c>
      <c r="B3578">
        <v>35088</v>
      </c>
      <c r="C3578" t="s">
        <v>9500</v>
      </c>
      <c r="D3578" t="s">
        <v>6168</v>
      </c>
    </row>
    <row r="3579" spans="1:4">
      <c r="A3579" t="s">
        <v>9501</v>
      </c>
      <c r="B3579">
        <v>24124</v>
      </c>
      <c r="C3579" t="s">
        <v>2809</v>
      </c>
      <c r="D3579" t="s">
        <v>6168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9502</v>
      </c>
      <c r="B3581">
        <v>21955</v>
      </c>
      <c r="C3581" t="s">
        <v>9503</v>
      </c>
      <c r="D3581" t="s">
        <v>6168</v>
      </c>
    </row>
    <row r="3582" spans="1:4">
      <c r="A3582" t="s">
        <v>9504</v>
      </c>
      <c r="B3582">
        <v>21956</v>
      </c>
      <c r="C3582" t="s">
        <v>9505</v>
      </c>
      <c r="D3582" t="s">
        <v>6168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9506</v>
      </c>
      <c r="B3584">
        <v>29515</v>
      </c>
      <c r="C3584" t="s">
        <v>6219</v>
      </c>
      <c r="D3584" t="s">
        <v>6168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9507</v>
      </c>
      <c r="B3587">
        <v>30093</v>
      </c>
      <c r="C3587" t="s">
        <v>7981</v>
      </c>
      <c r="D3587" t="s">
        <v>6168</v>
      </c>
    </row>
    <row r="3588" spans="1:4">
      <c r="A3588" t="s">
        <v>9508</v>
      </c>
      <c r="B3588">
        <v>31733</v>
      </c>
      <c r="C3588" t="s">
        <v>6519</v>
      </c>
      <c r="D3588" t="s">
        <v>6168</v>
      </c>
    </row>
    <row r="3589" spans="1:4">
      <c r="A3589" t="s">
        <v>9509</v>
      </c>
      <c r="B3589">
        <v>32240</v>
      </c>
      <c r="C3589" t="s">
        <v>9510</v>
      </c>
      <c r="D3589" t="s">
        <v>6168</v>
      </c>
    </row>
    <row r="3590" spans="1:4">
      <c r="A3590" t="s">
        <v>9511</v>
      </c>
      <c r="B3590">
        <v>5088</v>
      </c>
      <c r="C3590" t="s">
        <v>6760</v>
      </c>
      <c r="D3590" t="s">
        <v>6168</v>
      </c>
    </row>
    <row r="3591" spans="1:4">
      <c r="A3591" t="s">
        <v>9512</v>
      </c>
      <c r="B3591">
        <v>20333</v>
      </c>
      <c r="C3591" t="s">
        <v>9513</v>
      </c>
      <c r="D3591" t="s">
        <v>6168</v>
      </c>
    </row>
    <row r="3592" spans="1:4">
      <c r="A3592" t="s">
        <v>9514</v>
      </c>
      <c r="B3592">
        <v>25764</v>
      </c>
      <c r="C3592" t="s">
        <v>9515</v>
      </c>
      <c r="D3592" t="s">
        <v>6168</v>
      </c>
    </row>
    <row r="3593" spans="1:4">
      <c r="A3593" t="s">
        <v>9516</v>
      </c>
      <c r="B3593">
        <v>23612</v>
      </c>
      <c r="C3593" t="s">
        <v>9517</v>
      </c>
      <c r="D3593" t="s">
        <v>6168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9518</v>
      </c>
      <c r="B3595">
        <v>4093</v>
      </c>
      <c r="C3595" t="s">
        <v>6576</v>
      </c>
      <c r="D3595" t="s">
        <v>6168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9519</v>
      </c>
      <c r="B3597">
        <v>21958</v>
      </c>
      <c r="C3597" t="s">
        <v>825</v>
      </c>
      <c r="D3597" t="s">
        <v>6168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9520</v>
      </c>
      <c r="B3600">
        <v>24635</v>
      </c>
      <c r="C3600" t="s">
        <v>1105</v>
      </c>
      <c r="D3600" t="s">
        <v>6168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9521</v>
      </c>
      <c r="B3603">
        <v>21960</v>
      </c>
      <c r="C3603" t="s">
        <v>3857</v>
      </c>
      <c r="D3603" t="s">
        <v>6314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9522</v>
      </c>
      <c r="B3605">
        <v>21962</v>
      </c>
      <c r="C3605" t="s">
        <v>9523</v>
      </c>
      <c r="D3605" t="s">
        <v>6168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9524</v>
      </c>
      <c r="B3607">
        <v>20365</v>
      </c>
      <c r="C3607" t="s">
        <v>4167</v>
      </c>
      <c r="D3607" t="s">
        <v>6267</v>
      </c>
    </row>
    <row r="3608" spans="1:4">
      <c r="A3608" t="s">
        <v>9525</v>
      </c>
      <c r="B3608">
        <v>29155</v>
      </c>
      <c r="C3608" t="s">
        <v>9526</v>
      </c>
      <c r="D3608" t="s">
        <v>6267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9527</v>
      </c>
      <c r="B3610">
        <v>3662</v>
      </c>
      <c r="C3610" t="s">
        <v>3899</v>
      </c>
      <c r="D3610" t="s">
        <v>6168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9528</v>
      </c>
      <c r="B3613">
        <v>31210</v>
      </c>
      <c r="C3613" t="s">
        <v>9529</v>
      </c>
      <c r="D3613" t="s">
        <v>6168</v>
      </c>
    </row>
    <row r="3614" spans="1:4">
      <c r="A3614" t="s">
        <v>9530</v>
      </c>
      <c r="B3614">
        <v>2552</v>
      </c>
      <c r="C3614" t="s">
        <v>9531</v>
      </c>
      <c r="D3614" t="s">
        <v>6168</v>
      </c>
    </row>
    <row r="3615" spans="1:4">
      <c r="A3615" t="s">
        <v>9532</v>
      </c>
      <c r="B3615">
        <v>2553</v>
      </c>
      <c r="C3615" t="s">
        <v>9533</v>
      </c>
      <c r="D3615" t="s">
        <v>6168</v>
      </c>
    </row>
    <row r="3616" spans="1:4">
      <c r="A3616" t="s">
        <v>9534</v>
      </c>
      <c r="B3616">
        <v>2554</v>
      </c>
      <c r="C3616" t="s">
        <v>9535</v>
      </c>
      <c r="D3616" t="s">
        <v>6168</v>
      </c>
    </row>
    <row r="3617" spans="1:4">
      <c r="A3617" t="s">
        <v>9536</v>
      </c>
      <c r="B3617">
        <v>2555</v>
      </c>
      <c r="C3617" t="s">
        <v>9537</v>
      </c>
      <c r="D3617" t="s">
        <v>6168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9538</v>
      </c>
      <c r="B3619">
        <v>43153</v>
      </c>
      <c r="C3619" t="s">
        <v>9539</v>
      </c>
      <c r="D3619" t="s">
        <v>6168</v>
      </c>
    </row>
    <row r="3620" spans="1:4">
      <c r="A3620" t="s">
        <v>9540</v>
      </c>
      <c r="B3620">
        <v>2586</v>
      </c>
      <c r="C3620" t="s">
        <v>9541</v>
      </c>
      <c r="D3620" t="s">
        <v>6168</v>
      </c>
    </row>
    <row r="3621" spans="1:4">
      <c r="A3621" t="s">
        <v>9542</v>
      </c>
      <c r="B3621">
        <v>2589</v>
      </c>
      <c r="C3621" t="s">
        <v>8251</v>
      </c>
      <c r="D3621" t="s">
        <v>6168</v>
      </c>
    </row>
    <row r="3622" spans="1:4">
      <c r="A3622" t="s">
        <v>9543</v>
      </c>
      <c r="B3622">
        <v>2590</v>
      </c>
      <c r="C3622" t="s">
        <v>6219</v>
      </c>
      <c r="D3622" t="s">
        <v>6168</v>
      </c>
    </row>
    <row r="3623" spans="1:4">
      <c r="A3623" t="s">
        <v>9544</v>
      </c>
      <c r="B3623">
        <v>43156</v>
      </c>
      <c r="C3623" t="s">
        <v>9545</v>
      </c>
      <c r="D3623" t="s">
        <v>6168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9546</v>
      </c>
      <c r="B3626">
        <v>2952</v>
      </c>
      <c r="C3626" t="s">
        <v>6417</v>
      </c>
      <c r="D3626" t="s">
        <v>6168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16989</v>
      </c>
      <c r="B3628">
        <v>44237</v>
      </c>
      <c r="C3628" t="s">
        <v>16990</v>
      </c>
      <c r="D3628" t="s">
        <v>123</v>
      </c>
    </row>
    <row r="3629" spans="1:4">
      <c r="A3629" t="s">
        <v>17061</v>
      </c>
      <c r="B3629">
        <v>44318</v>
      </c>
      <c r="C3629" t="s">
        <v>6317</v>
      </c>
      <c r="D3629" t="s">
        <v>6168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17261</v>
      </c>
      <c r="B3631">
        <v>45348</v>
      </c>
      <c r="C3631" t="s">
        <v>17262</v>
      </c>
      <c r="D3631" t="s">
        <v>6168</v>
      </c>
    </row>
    <row r="3632" spans="1:4">
      <c r="A3632" t="s">
        <v>9547</v>
      </c>
      <c r="B3632">
        <v>25464</v>
      </c>
      <c r="C3632" t="s">
        <v>1273</v>
      </c>
      <c r="D3632" t="s">
        <v>6168</v>
      </c>
    </row>
    <row r="3633" spans="1:4">
      <c r="A3633" t="s">
        <v>9548</v>
      </c>
      <c r="B3633">
        <v>23702</v>
      </c>
      <c r="C3633" t="s">
        <v>9549</v>
      </c>
      <c r="D3633" t="s">
        <v>6168</v>
      </c>
    </row>
    <row r="3634" spans="1:4">
      <c r="A3634" t="s">
        <v>9550</v>
      </c>
      <c r="B3634">
        <v>26370</v>
      </c>
      <c r="C3634" t="s">
        <v>9551</v>
      </c>
      <c r="D3634" t="s">
        <v>6168</v>
      </c>
    </row>
    <row r="3635" spans="1:4">
      <c r="A3635" t="s">
        <v>17263</v>
      </c>
      <c r="B3635">
        <v>45349</v>
      </c>
      <c r="C3635" t="s">
        <v>17264</v>
      </c>
      <c r="D3635" t="s">
        <v>6168</v>
      </c>
    </row>
    <row r="3636" spans="1:4">
      <c r="A3636" t="s">
        <v>9552</v>
      </c>
      <c r="B3636">
        <v>21963</v>
      </c>
      <c r="C3636" t="s">
        <v>9553</v>
      </c>
      <c r="D3636" t="s">
        <v>6267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9554</v>
      </c>
      <c r="B3638">
        <v>987</v>
      </c>
      <c r="C3638" t="s">
        <v>9555</v>
      </c>
      <c r="D3638" t="s">
        <v>6168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9556</v>
      </c>
      <c r="B3641">
        <v>20617</v>
      </c>
      <c r="D3641" t="s">
        <v>6314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9557</v>
      </c>
      <c r="B3643">
        <v>41945</v>
      </c>
      <c r="C3643" t="s">
        <v>7712</v>
      </c>
      <c r="D3643" t="s">
        <v>6168</v>
      </c>
    </row>
    <row r="3644" spans="1:4">
      <c r="A3644" t="s">
        <v>9558</v>
      </c>
      <c r="B3644">
        <v>665</v>
      </c>
      <c r="C3644" t="s">
        <v>1675</v>
      </c>
      <c r="D3644" t="s">
        <v>6168</v>
      </c>
    </row>
    <row r="3645" spans="1:4">
      <c r="A3645" t="s">
        <v>9559</v>
      </c>
      <c r="B3645">
        <v>23126</v>
      </c>
      <c r="D3645" t="s">
        <v>6245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9560</v>
      </c>
      <c r="B3648">
        <v>19373</v>
      </c>
      <c r="C3648" t="s">
        <v>342</v>
      </c>
      <c r="D3648" t="s">
        <v>6168</v>
      </c>
    </row>
    <row r="3649" spans="1:4">
      <c r="A3649" t="s">
        <v>9561</v>
      </c>
      <c r="B3649">
        <v>19374</v>
      </c>
      <c r="C3649" t="s">
        <v>9562</v>
      </c>
      <c r="D3649" t="s">
        <v>6168</v>
      </c>
    </row>
    <row r="3650" spans="1:4">
      <c r="A3650" t="s">
        <v>9563</v>
      </c>
      <c r="B3650">
        <v>31792</v>
      </c>
      <c r="C3650" t="s">
        <v>9564</v>
      </c>
      <c r="D3650" t="s">
        <v>6168</v>
      </c>
    </row>
    <row r="3651" spans="1:4">
      <c r="A3651" t="s">
        <v>9565</v>
      </c>
      <c r="B3651">
        <v>19375</v>
      </c>
      <c r="C3651" t="s">
        <v>291</v>
      </c>
      <c r="D3651" t="s">
        <v>6168</v>
      </c>
    </row>
    <row r="3652" spans="1:4">
      <c r="A3652" t="s">
        <v>9566</v>
      </c>
      <c r="B3652">
        <v>25923</v>
      </c>
      <c r="D3652" t="s">
        <v>6168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9567</v>
      </c>
      <c r="B3654">
        <v>19376</v>
      </c>
      <c r="C3654" t="s">
        <v>291</v>
      </c>
      <c r="D3654" t="s">
        <v>6168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9568</v>
      </c>
      <c r="B3656">
        <v>39524</v>
      </c>
      <c r="C3656" t="s">
        <v>3215</v>
      </c>
      <c r="D3656" t="s">
        <v>6267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9569</v>
      </c>
      <c r="B3658">
        <v>24636</v>
      </c>
      <c r="C3658" t="s">
        <v>7008</v>
      </c>
      <c r="D3658" t="s">
        <v>6168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9570</v>
      </c>
      <c r="B3660">
        <v>36044</v>
      </c>
      <c r="C3660" t="s">
        <v>9571</v>
      </c>
      <c r="D3660" t="s">
        <v>6314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9572</v>
      </c>
      <c r="B3663">
        <v>21965</v>
      </c>
      <c r="C3663" t="s">
        <v>9573</v>
      </c>
      <c r="D3663" t="s">
        <v>6168</v>
      </c>
    </row>
    <row r="3664" spans="1:4">
      <c r="A3664" t="s">
        <v>17547</v>
      </c>
      <c r="B3664">
        <v>45979</v>
      </c>
      <c r="C3664" t="s">
        <v>367</v>
      </c>
      <c r="D3664" t="s">
        <v>123</v>
      </c>
    </row>
    <row r="3665" spans="1:4">
      <c r="A3665" t="s">
        <v>17570</v>
      </c>
      <c r="B3665">
        <v>46840</v>
      </c>
      <c r="C3665" t="s">
        <v>367</v>
      </c>
      <c r="D3665" t="s">
        <v>6168</v>
      </c>
    </row>
    <row r="3666" spans="1:4">
      <c r="A3666" t="s">
        <v>16797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9574</v>
      </c>
      <c r="B3668">
        <v>21967</v>
      </c>
      <c r="C3668" t="s">
        <v>6483</v>
      </c>
      <c r="D3668" t="s">
        <v>6168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9575</v>
      </c>
      <c r="B3670">
        <v>2536</v>
      </c>
      <c r="C3670" t="s">
        <v>9576</v>
      </c>
      <c r="D3670" t="s">
        <v>6168</v>
      </c>
    </row>
    <row r="3671" spans="1:4">
      <c r="A3671" t="s">
        <v>9577</v>
      </c>
      <c r="B3671">
        <v>2537</v>
      </c>
      <c r="C3671" t="s">
        <v>6768</v>
      </c>
      <c r="D3671" t="s">
        <v>6168</v>
      </c>
    </row>
    <row r="3672" spans="1:4">
      <c r="A3672" t="s">
        <v>9578</v>
      </c>
      <c r="B3672">
        <v>2539</v>
      </c>
      <c r="C3672" t="s">
        <v>9579</v>
      </c>
      <c r="D3672" t="s">
        <v>6168</v>
      </c>
    </row>
    <row r="3673" spans="1:4">
      <c r="A3673" t="s">
        <v>9580</v>
      </c>
      <c r="B3673">
        <v>2540</v>
      </c>
      <c r="D3673" t="s">
        <v>6168</v>
      </c>
    </row>
    <row r="3674" spans="1:4">
      <c r="A3674" t="s">
        <v>9581</v>
      </c>
      <c r="B3674">
        <v>2538</v>
      </c>
      <c r="C3674" t="s">
        <v>9582</v>
      </c>
      <c r="D3674" t="s">
        <v>6168</v>
      </c>
    </row>
    <row r="3675" spans="1:4">
      <c r="A3675" t="s">
        <v>9583</v>
      </c>
      <c r="B3675">
        <v>2541</v>
      </c>
      <c r="C3675" t="s">
        <v>8223</v>
      </c>
      <c r="D3675" t="s">
        <v>6168</v>
      </c>
    </row>
    <row r="3676" spans="1:4">
      <c r="A3676" t="s">
        <v>9584</v>
      </c>
      <c r="B3676">
        <v>2542</v>
      </c>
      <c r="C3676" t="s">
        <v>9585</v>
      </c>
      <c r="D3676" t="s">
        <v>6168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9586</v>
      </c>
      <c r="B3678">
        <v>23253</v>
      </c>
      <c r="C3678" t="s">
        <v>6900</v>
      </c>
      <c r="D3678" t="s">
        <v>6605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9587</v>
      </c>
      <c r="B3680">
        <v>23488</v>
      </c>
      <c r="C3680" t="s">
        <v>9588</v>
      </c>
      <c r="D3680" t="s">
        <v>6168</v>
      </c>
    </row>
    <row r="3681" spans="1:4">
      <c r="A3681" t="s">
        <v>9589</v>
      </c>
      <c r="B3681">
        <v>23489</v>
      </c>
      <c r="C3681" t="s">
        <v>9275</v>
      </c>
      <c r="D3681" t="s">
        <v>6168</v>
      </c>
    </row>
    <row r="3682" spans="1:4">
      <c r="A3682" t="s">
        <v>9590</v>
      </c>
      <c r="B3682">
        <v>4571</v>
      </c>
      <c r="C3682" t="s">
        <v>4950</v>
      </c>
      <c r="D3682" t="s">
        <v>6168</v>
      </c>
    </row>
    <row r="3683" spans="1:4">
      <c r="A3683" t="s">
        <v>17515</v>
      </c>
      <c r="B3683">
        <v>45937</v>
      </c>
      <c r="C3683" t="s">
        <v>17516</v>
      </c>
      <c r="D3683" t="s">
        <v>6168</v>
      </c>
    </row>
    <row r="3684" spans="1:4">
      <c r="A3684" t="s">
        <v>9591</v>
      </c>
      <c r="B3684">
        <v>31110</v>
      </c>
      <c r="C3684" t="s">
        <v>561</v>
      </c>
      <c r="D3684" t="s">
        <v>6168</v>
      </c>
    </row>
    <row r="3685" spans="1:4">
      <c r="A3685" t="s">
        <v>9592</v>
      </c>
      <c r="B3685">
        <v>24637</v>
      </c>
      <c r="C3685" t="s">
        <v>9593</v>
      </c>
      <c r="D3685" t="s">
        <v>6168</v>
      </c>
    </row>
    <row r="3686" spans="1:4">
      <c r="A3686" t="s">
        <v>9594</v>
      </c>
      <c r="B3686">
        <v>4572</v>
      </c>
      <c r="C3686" t="s">
        <v>4950</v>
      </c>
      <c r="D3686" t="s">
        <v>6168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9595</v>
      </c>
      <c r="B3689">
        <v>21969</v>
      </c>
      <c r="C3689" t="s">
        <v>9596</v>
      </c>
      <c r="D3689" t="s">
        <v>6168</v>
      </c>
    </row>
    <row r="3690" spans="1:4">
      <c r="A3690" t="s">
        <v>9597</v>
      </c>
      <c r="B3690">
        <v>24921</v>
      </c>
      <c r="D3690" t="s">
        <v>6245</v>
      </c>
    </row>
    <row r="3691" spans="1:4">
      <c r="A3691" t="s">
        <v>9597</v>
      </c>
      <c r="B3691">
        <v>20030</v>
      </c>
      <c r="D3691" t="s">
        <v>6605</v>
      </c>
    </row>
    <row r="3692" spans="1:4">
      <c r="A3692" t="s">
        <v>9598</v>
      </c>
      <c r="B3692">
        <v>31225</v>
      </c>
      <c r="D3692" t="s">
        <v>6605</v>
      </c>
    </row>
    <row r="3693" spans="1:4">
      <c r="A3693" t="s">
        <v>9599</v>
      </c>
      <c r="B3693">
        <v>3118</v>
      </c>
      <c r="D3693" t="s">
        <v>6314</v>
      </c>
    </row>
    <row r="3694" spans="1:4">
      <c r="A3694" t="s">
        <v>9600</v>
      </c>
      <c r="B3694">
        <v>20364</v>
      </c>
      <c r="C3694" t="s">
        <v>9601</v>
      </c>
      <c r="D3694" t="s">
        <v>6872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9602</v>
      </c>
      <c r="B3696">
        <v>24639</v>
      </c>
      <c r="C3696" t="s">
        <v>9603</v>
      </c>
      <c r="D3696" t="s">
        <v>6168</v>
      </c>
    </row>
    <row r="3697" spans="1:4">
      <c r="A3697" t="s">
        <v>9604</v>
      </c>
      <c r="B3697">
        <v>30281</v>
      </c>
      <c r="C3697" t="s">
        <v>9605</v>
      </c>
      <c r="D3697" t="s">
        <v>6168</v>
      </c>
    </row>
    <row r="3698" spans="1:4">
      <c r="A3698" t="s">
        <v>17265</v>
      </c>
      <c r="B3698">
        <v>45350</v>
      </c>
      <c r="C3698" t="s">
        <v>17266</v>
      </c>
      <c r="D3698" t="s">
        <v>6168</v>
      </c>
    </row>
    <row r="3699" spans="1:4">
      <c r="A3699" t="s">
        <v>9606</v>
      </c>
      <c r="B3699">
        <v>21970</v>
      </c>
      <c r="C3699" t="s">
        <v>9607</v>
      </c>
      <c r="D3699" t="s">
        <v>6241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9608</v>
      </c>
      <c r="B3702">
        <v>163</v>
      </c>
      <c r="C3702" t="s">
        <v>9609</v>
      </c>
      <c r="D3702" t="s">
        <v>6168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9610</v>
      </c>
      <c r="B3704">
        <v>21972</v>
      </c>
      <c r="C3704" t="s">
        <v>9611</v>
      </c>
      <c r="D3704" t="s">
        <v>6168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9612</v>
      </c>
      <c r="B3706">
        <v>401</v>
      </c>
      <c r="C3706" t="s">
        <v>8393</v>
      </c>
      <c r="D3706" t="s">
        <v>6168</v>
      </c>
    </row>
    <row r="3707" spans="1:4">
      <c r="A3707" t="s">
        <v>9613</v>
      </c>
      <c r="B3707">
        <v>21527</v>
      </c>
      <c r="C3707" t="s">
        <v>1432</v>
      </c>
      <c r="D3707" t="s">
        <v>6168</v>
      </c>
    </row>
    <row r="3708" spans="1:4">
      <c r="A3708" t="s">
        <v>9614</v>
      </c>
      <c r="B3708">
        <v>402</v>
      </c>
      <c r="C3708" t="s">
        <v>9615</v>
      </c>
      <c r="D3708" t="s">
        <v>6168</v>
      </c>
    </row>
    <row r="3709" spans="1:4">
      <c r="A3709" t="s">
        <v>9616</v>
      </c>
      <c r="B3709">
        <v>27285</v>
      </c>
      <c r="D3709" t="s">
        <v>6168</v>
      </c>
    </row>
    <row r="3710" spans="1:4">
      <c r="A3710" t="s">
        <v>9617</v>
      </c>
      <c r="B3710">
        <v>403</v>
      </c>
      <c r="C3710" t="s">
        <v>936</v>
      </c>
      <c r="D3710" t="s">
        <v>6168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9618</v>
      </c>
      <c r="B3712">
        <v>503</v>
      </c>
      <c r="C3712" t="s">
        <v>6436</v>
      </c>
      <c r="D3712" t="s">
        <v>6168</v>
      </c>
    </row>
    <row r="3713" spans="1:4">
      <c r="A3713" t="s">
        <v>9619</v>
      </c>
      <c r="B3713">
        <v>504</v>
      </c>
      <c r="C3713" t="s">
        <v>7449</v>
      </c>
      <c r="D3713" t="s">
        <v>6168</v>
      </c>
    </row>
    <row r="3714" spans="1:4">
      <c r="A3714" t="s">
        <v>9620</v>
      </c>
      <c r="B3714">
        <v>505</v>
      </c>
      <c r="C3714" t="s">
        <v>9392</v>
      </c>
      <c r="D3714" t="s">
        <v>6168</v>
      </c>
    </row>
    <row r="3715" spans="1:4">
      <c r="A3715" t="s">
        <v>9621</v>
      </c>
      <c r="B3715">
        <v>506</v>
      </c>
      <c r="C3715" t="s">
        <v>4812</v>
      </c>
      <c r="D3715" t="s">
        <v>6168</v>
      </c>
    </row>
    <row r="3716" spans="1:4">
      <c r="A3716" t="s">
        <v>9622</v>
      </c>
      <c r="B3716">
        <v>507</v>
      </c>
      <c r="C3716" t="s">
        <v>9623</v>
      </c>
      <c r="D3716" t="s">
        <v>6168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9624</v>
      </c>
      <c r="B3718">
        <v>451</v>
      </c>
      <c r="C3718" t="s">
        <v>9625</v>
      </c>
      <c r="D3718" t="s">
        <v>6168</v>
      </c>
    </row>
    <row r="3719" spans="1:4">
      <c r="A3719" t="s">
        <v>9626</v>
      </c>
      <c r="B3719">
        <v>25589</v>
      </c>
      <c r="C3719" t="s">
        <v>9627</v>
      </c>
      <c r="D3719" t="s">
        <v>6168</v>
      </c>
    </row>
    <row r="3720" spans="1:4">
      <c r="A3720" t="s">
        <v>9628</v>
      </c>
      <c r="B3720">
        <v>30112</v>
      </c>
      <c r="C3720" t="s">
        <v>9629</v>
      </c>
      <c r="D3720" t="s">
        <v>6168</v>
      </c>
    </row>
    <row r="3721" spans="1:4">
      <c r="A3721" t="s">
        <v>9630</v>
      </c>
      <c r="B3721">
        <v>453</v>
      </c>
      <c r="C3721" t="s">
        <v>9631</v>
      </c>
      <c r="D3721" t="s">
        <v>6168</v>
      </c>
    </row>
    <row r="3722" spans="1:4">
      <c r="A3722" t="s">
        <v>9632</v>
      </c>
      <c r="B3722">
        <v>454</v>
      </c>
      <c r="C3722" t="s">
        <v>9633</v>
      </c>
      <c r="D3722" t="s">
        <v>6168</v>
      </c>
    </row>
    <row r="3723" spans="1:4">
      <c r="A3723" t="s">
        <v>9634</v>
      </c>
      <c r="B3723">
        <v>455</v>
      </c>
      <c r="C3723" t="s">
        <v>6613</v>
      </c>
      <c r="D3723" t="s">
        <v>6168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9635</v>
      </c>
      <c r="B3725">
        <v>23180</v>
      </c>
      <c r="D3725" t="s">
        <v>6314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9636</v>
      </c>
      <c r="B3727">
        <v>23093</v>
      </c>
      <c r="C3727" t="s">
        <v>4810</v>
      </c>
      <c r="D3727" t="s">
        <v>6267</v>
      </c>
    </row>
    <row r="3728" spans="1:4">
      <c r="A3728" t="s">
        <v>9637</v>
      </c>
      <c r="B3728">
        <v>21973</v>
      </c>
      <c r="D3728" t="s">
        <v>6314</v>
      </c>
    </row>
    <row r="3729" spans="1:4">
      <c r="A3729" t="s">
        <v>9638</v>
      </c>
      <c r="B3729">
        <v>348</v>
      </c>
      <c r="D3729" t="s">
        <v>6245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9639</v>
      </c>
      <c r="B3731">
        <v>29344</v>
      </c>
      <c r="C3731" t="s">
        <v>9640</v>
      </c>
      <c r="D3731" t="s">
        <v>6168</v>
      </c>
    </row>
    <row r="3732" spans="1:4">
      <c r="A3732" t="s">
        <v>9641</v>
      </c>
      <c r="B3732">
        <v>35251</v>
      </c>
      <c r="C3732" t="s">
        <v>9642</v>
      </c>
      <c r="D3732" t="s">
        <v>6168</v>
      </c>
    </row>
    <row r="3733" spans="1:4">
      <c r="A3733" t="s">
        <v>9643</v>
      </c>
      <c r="B3733">
        <v>29288</v>
      </c>
      <c r="C3733" t="s">
        <v>644</v>
      </c>
      <c r="D3733" t="s">
        <v>6168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9644</v>
      </c>
      <c r="B3735">
        <v>497</v>
      </c>
      <c r="C3735" t="s">
        <v>6278</v>
      </c>
      <c r="D3735" t="s">
        <v>6168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9645</v>
      </c>
      <c r="B3739">
        <v>20616</v>
      </c>
      <c r="D3739" t="s">
        <v>6314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9646</v>
      </c>
      <c r="B3741">
        <v>4320</v>
      </c>
      <c r="C3741" t="s">
        <v>9647</v>
      </c>
      <c r="D3741" t="s">
        <v>6230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9648</v>
      </c>
      <c r="B3743">
        <v>21974</v>
      </c>
      <c r="C3743" t="s">
        <v>9649</v>
      </c>
      <c r="D3743" t="s">
        <v>6168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9650</v>
      </c>
      <c r="B3745">
        <v>29330</v>
      </c>
      <c r="C3745" t="s">
        <v>9651</v>
      </c>
      <c r="D3745" t="s">
        <v>6168</v>
      </c>
    </row>
    <row r="3746" spans="1:4">
      <c r="A3746" t="s">
        <v>16702</v>
      </c>
      <c r="B3746">
        <v>41580</v>
      </c>
      <c r="D3746" t="s">
        <v>6248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9652</v>
      </c>
      <c r="B3750">
        <v>21976</v>
      </c>
      <c r="C3750" t="s">
        <v>819</v>
      </c>
      <c r="D3750" t="s">
        <v>6168</v>
      </c>
    </row>
    <row r="3751" spans="1:4">
      <c r="A3751" t="s">
        <v>9653</v>
      </c>
      <c r="B3751">
        <v>21977</v>
      </c>
      <c r="C3751" t="s">
        <v>9654</v>
      </c>
      <c r="D3751" t="s">
        <v>6168</v>
      </c>
    </row>
    <row r="3752" spans="1:4">
      <c r="A3752" t="s">
        <v>9655</v>
      </c>
      <c r="B3752">
        <v>21979</v>
      </c>
      <c r="C3752" t="s">
        <v>9656</v>
      </c>
      <c r="D3752" t="s">
        <v>6168</v>
      </c>
    </row>
    <row r="3753" spans="1:4">
      <c r="A3753" t="s">
        <v>9657</v>
      </c>
      <c r="B3753">
        <v>21980</v>
      </c>
      <c r="C3753" t="s">
        <v>9658</v>
      </c>
      <c r="D3753" t="s">
        <v>6168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9659</v>
      </c>
      <c r="B3755">
        <v>21978</v>
      </c>
      <c r="C3755" t="s">
        <v>819</v>
      </c>
      <c r="D3755" t="s">
        <v>6168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9660</v>
      </c>
      <c r="B3757">
        <v>2656</v>
      </c>
      <c r="C3757" t="s">
        <v>7933</v>
      </c>
      <c r="D3757" t="s">
        <v>6168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9661</v>
      </c>
      <c r="B3759">
        <v>21982</v>
      </c>
      <c r="C3759" t="s">
        <v>9662</v>
      </c>
      <c r="D3759" t="s">
        <v>6314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9663</v>
      </c>
      <c r="B3761">
        <v>21984</v>
      </c>
      <c r="C3761" t="s">
        <v>6957</v>
      </c>
      <c r="D3761" t="s">
        <v>6168</v>
      </c>
    </row>
    <row r="3762" spans="1:4">
      <c r="A3762" t="s">
        <v>9664</v>
      </c>
      <c r="B3762">
        <v>24129</v>
      </c>
      <c r="C3762" t="s">
        <v>7839</v>
      </c>
      <c r="D3762" t="s">
        <v>6168</v>
      </c>
    </row>
    <row r="3763" spans="1:4">
      <c r="A3763" t="s">
        <v>9665</v>
      </c>
      <c r="B3763">
        <v>23705</v>
      </c>
      <c r="C3763" t="s">
        <v>4950</v>
      </c>
      <c r="D3763" t="s">
        <v>6168</v>
      </c>
    </row>
    <row r="3764" spans="1:4">
      <c r="A3764" t="s">
        <v>9666</v>
      </c>
      <c r="B3764">
        <v>24640</v>
      </c>
      <c r="C3764" t="s">
        <v>9667</v>
      </c>
      <c r="D3764" t="s">
        <v>6168</v>
      </c>
    </row>
    <row r="3765" spans="1:4">
      <c r="A3765" t="s">
        <v>9668</v>
      </c>
      <c r="B3765">
        <v>21985</v>
      </c>
      <c r="C3765" t="s">
        <v>9669</v>
      </c>
      <c r="D3765" t="s">
        <v>6168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9670</v>
      </c>
      <c r="B3768">
        <v>30302</v>
      </c>
      <c r="C3768" t="s">
        <v>9671</v>
      </c>
      <c r="D3768" t="s">
        <v>6168</v>
      </c>
    </row>
    <row r="3769" spans="1:4">
      <c r="A3769" t="s">
        <v>9672</v>
      </c>
      <c r="B3769">
        <v>29881</v>
      </c>
      <c r="C3769" t="s">
        <v>9673</v>
      </c>
      <c r="D3769" t="s">
        <v>6168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9674</v>
      </c>
      <c r="B3771">
        <v>9792</v>
      </c>
      <c r="C3771" t="s">
        <v>9675</v>
      </c>
      <c r="D3771" t="s">
        <v>6168</v>
      </c>
    </row>
    <row r="3772" spans="1:4">
      <c r="A3772" t="s">
        <v>9676</v>
      </c>
      <c r="B3772">
        <v>25708</v>
      </c>
      <c r="C3772" t="s">
        <v>2043</v>
      </c>
      <c r="D3772" t="s">
        <v>6168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9677</v>
      </c>
      <c r="B3774">
        <v>21987</v>
      </c>
      <c r="C3774" t="s">
        <v>6371</v>
      </c>
      <c r="D3774" t="s">
        <v>6168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9678</v>
      </c>
      <c r="B3776">
        <v>30027</v>
      </c>
      <c r="C3776" t="s">
        <v>7320</v>
      </c>
      <c r="D3776" t="s">
        <v>6168</v>
      </c>
    </row>
    <row r="3777" spans="1:4">
      <c r="A3777" t="s">
        <v>9679</v>
      </c>
      <c r="B3777">
        <v>20363</v>
      </c>
      <c r="C3777" t="s">
        <v>6219</v>
      </c>
      <c r="D3777" t="s">
        <v>6168</v>
      </c>
    </row>
    <row r="3778" spans="1:4">
      <c r="A3778" t="s">
        <v>9680</v>
      </c>
      <c r="B3778">
        <v>20362</v>
      </c>
      <c r="D3778" t="s">
        <v>6305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17062</v>
      </c>
      <c r="B3780">
        <v>44319</v>
      </c>
      <c r="C3780" t="s">
        <v>5715</v>
      </c>
      <c r="D3780" t="s">
        <v>6267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9681</v>
      </c>
      <c r="B3785">
        <v>24642</v>
      </c>
      <c r="C3785" t="s">
        <v>8072</v>
      </c>
      <c r="D3785" t="s">
        <v>6168</v>
      </c>
    </row>
    <row r="3786" spans="1:4">
      <c r="A3786" t="s">
        <v>9682</v>
      </c>
      <c r="B3786">
        <v>29751</v>
      </c>
      <c r="C3786" t="s">
        <v>2691</v>
      </c>
      <c r="D3786" t="s">
        <v>6168</v>
      </c>
    </row>
    <row r="3787" spans="1:4">
      <c r="A3787" t="s">
        <v>9683</v>
      </c>
      <c r="B3787">
        <v>24131</v>
      </c>
      <c r="C3787" t="s">
        <v>6974</v>
      </c>
      <c r="D3787" t="s">
        <v>6168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9684</v>
      </c>
      <c r="B3789">
        <v>29314</v>
      </c>
      <c r="C3789" t="s">
        <v>644</v>
      </c>
      <c r="D3789" t="s">
        <v>6168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9685</v>
      </c>
      <c r="B3792">
        <v>879</v>
      </c>
      <c r="C3792" t="s">
        <v>9686</v>
      </c>
      <c r="D3792" t="s">
        <v>6168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9687</v>
      </c>
      <c r="B3794">
        <v>20361</v>
      </c>
      <c r="D3794" t="s">
        <v>6305</v>
      </c>
    </row>
    <row r="3795" spans="1:4">
      <c r="A3795" t="s">
        <v>9688</v>
      </c>
      <c r="B3795">
        <v>42402</v>
      </c>
      <c r="C3795" t="s">
        <v>9689</v>
      </c>
      <c r="D3795" t="s">
        <v>6267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9690</v>
      </c>
      <c r="B3800">
        <v>2380</v>
      </c>
      <c r="C3800" t="s">
        <v>6568</v>
      </c>
      <c r="D3800" t="s">
        <v>6168</v>
      </c>
    </row>
    <row r="3801" spans="1:4">
      <c r="A3801" t="s">
        <v>9691</v>
      </c>
      <c r="B3801">
        <v>2381</v>
      </c>
      <c r="C3801" t="s">
        <v>1475</v>
      </c>
      <c r="D3801" t="s">
        <v>6168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9692</v>
      </c>
      <c r="B3803">
        <v>21989</v>
      </c>
      <c r="C3803" t="s">
        <v>6558</v>
      </c>
      <c r="D3803" t="s">
        <v>6168</v>
      </c>
    </row>
    <row r="3804" spans="1:4">
      <c r="A3804" t="s">
        <v>9693</v>
      </c>
      <c r="B3804">
        <v>21990</v>
      </c>
      <c r="C3804" t="s">
        <v>9694</v>
      </c>
      <c r="D3804" t="s">
        <v>6267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9695</v>
      </c>
      <c r="B3806">
        <v>316</v>
      </c>
      <c r="C3806" t="s">
        <v>439</v>
      </c>
      <c r="D3806" t="s">
        <v>6168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9696</v>
      </c>
      <c r="B3808">
        <v>930</v>
      </c>
      <c r="C3808" t="s">
        <v>4950</v>
      </c>
      <c r="D3808" t="s">
        <v>6168</v>
      </c>
    </row>
    <row r="3809" spans="1:4">
      <c r="A3809" t="s">
        <v>9697</v>
      </c>
      <c r="B3809">
        <v>931</v>
      </c>
      <c r="C3809" t="s">
        <v>9698</v>
      </c>
      <c r="D3809" t="s">
        <v>6168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9699</v>
      </c>
      <c r="B3811">
        <v>39479</v>
      </c>
      <c r="C3811" t="s">
        <v>9700</v>
      </c>
      <c r="D3811" t="s">
        <v>6241</v>
      </c>
    </row>
    <row r="3812" spans="1:4">
      <c r="A3812" t="s">
        <v>9701</v>
      </c>
      <c r="B3812">
        <v>39712</v>
      </c>
      <c r="C3812" t="s">
        <v>7299</v>
      </c>
      <c r="D3812" t="s">
        <v>6267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9702</v>
      </c>
      <c r="B3814">
        <v>21992</v>
      </c>
      <c r="C3814" t="s">
        <v>9703</v>
      </c>
      <c r="D3814" t="s">
        <v>6168</v>
      </c>
    </row>
    <row r="3815" spans="1:4">
      <c r="A3815" t="s">
        <v>9704</v>
      </c>
      <c r="B3815">
        <v>21993</v>
      </c>
      <c r="C3815" t="s">
        <v>9705</v>
      </c>
      <c r="D3815" t="s">
        <v>6168</v>
      </c>
    </row>
    <row r="3816" spans="1:4">
      <c r="A3816" t="s">
        <v>9706</v>
      </c>
      <c r="B3816">
        <v>21994</v>
      </c>
      <c r="C3816" t="s">
        <v>9101</v>
      </c>
      <c r="D3816" t="s">
        <v>6168</v>
      </c>
    </row>
    <row r="3817" spans="1:4">
      <c r="A3817" t="s">
        <v>9707</v>
      </c>
      <c r="B3817">
        <v>21995</v>
      </c>
      <c r="C3817" t="s">
        <v>9708</v>
      </c>
      <c r="D3817" t="s">
        <v>6168</v>
      </c>
    </row>
    <row r="3818" spans="1:4">
      <c r="A3818" t="s">
        <v>9709</v>
      </c>
      <c r="B3818">
        <v>21996</v>
      </c>
      <c r="C3818" t="s">
        <v>9710</v>
      </c>
      <c r="D3818" t="s">
        <v>6168</v>
      </c>
    </row>
    <row r="3819" spans="1:4">
      <c r="A3819" t="s">
        <v>9711</v>
      </c>
      <c r="B3819">
        <v>21997</v>
      </c>
      <c r="C3819" t="s">
        <v>9101</v>
      </c>
      <c r="D3819" t="s">
        <v>6168</v>
      </c>
    </row>
    <row r="3820" spans="1:4">
      <c r="A3820" t="s">
        <v>9712</v>
      </c>
      <c r="B3820">
        <v>21998</v>
      </c>
      <c r="C3820" t="s">
        <v>9411</v>
      </c>
      <c r="D3820" t="s">
        <v>6168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9713</v>
      </c>
      <c r="B3822">
        <v>22000</v>
      </c>
      <c r="C3822" t="s">
        <v>9714</v>
      </c>
      <c r="D3822" t="s">
        <v>6168</v>
      </c>
    </row>
    <row r="3823" spans="1:4">
      <c r="A3823" t="s">
        <v>9715</v>
      </c>
      <c r="B3823">
        <v>22001</v>
      </c>
      <c r="C3823" t="s">
        <v>9716</v>
      </c>
      <c r="D3823" t="s">
        <v>6168</v>
      </c>
    </row>
    <row r="3824" spans="1:4">
      <c r="A3824" t="s">
        <v>9717</v>
      </c>
      <c r="B3824">
        <v>22002</v>
      </c>
      <c r="C3824" t="s">
        <v>9718</v>
      </c>
      <c r="D3824" t="s">
        <v>6168</v>
      </c>
    </row>
    <row r="3825" spans="1:4">
      <c r="A3825" t="s">
        <v>9719</v>
      </c>
      <c r="B3825">
        <v>22003</v>
      </c>
      <c r="C3825" t="s">
        <v>9101</v>
      </c>
      <c r="D3825" t="s">
        <v>6168</v>
      </c>
    </row>
    <row r="3826" spans="1:4">
      <c r="A3826" t="s">
        <v>9720</v>
      </c>
      <c r="B3826">
        <v>22004</v>
      </c>
      <c r="C3826" t="s">
        <v>6815</v>
      </c>
      <c r="D3826" t="s">
        <v>6168</v>
      </c>
    </row>
    <row r="3827" spans="1:4">
      <c r="A3827" t="s">
        <v>9721</v>
      </c>
      <c r="B3827">
        <v>22005</v>
      </c>
      <c r="C3827" t="s">
        <v>6815</v>
      </c>
      <c r="D3827" t="s">
        <v>6168</v>
      </c>
    </row>
    <row r="3828" spans="1:4">
      <c r="A3828" t="s">
        <v>9722</v>
      </c>
      <c r="B3828">
        <v>22006</v>
      </c>
      <c r="C3828" t="s">
        <v>9723</v>
      </c>
      <c r="D3828" t="s">
        <v>6168</v>
      </c>
    </row>
    <row r="3829" spans="1:4">
      <c r="A3829" t="s">
        <v>9724</v>
      </c>
      <c r="B3829">
        <v>22007</v>
      </c>
      <c r="C3829" t="s">
        <v>7124</v>
      </c>
      <c r="D3829" t="s">
        <v>6168</v>
      </c>
    </row>
    <row r="3830" spans="1:4">
      <c r="A3830" t="s">
        <v>9725</v>
      </c>
      <c r="B3830">
        <v>22008</v>
      </c>
      <c r="C3830" t="s">
        <v>9726</v>
      </c>
      <c r="D3830" t="s">
        <v>6168</v>
      </c>
    </row>
    <row r="3831" spans="1:4">
      <c r="A3831" t="s">
        <v>9727</v>
      </c>
      <c r="B3831">
        <v>22009</v>
      </c>
      <c r="C3831" t="s">
        <v>8994</v>
      </c>
      <c r="D3831" t="s">
        <v>6168</v>
      </c>
    </row>
    <row r="3832" spans="1:4">
      <c r="A3832" t="s">
        <v>9728</v>
      </c>
      <c r="B3832">
        <v>22010</v>
      </c>
      <c r="C3832" t="s">
        <v>9705</v>
      </c>
      <c r="D3832" t="s">
        <v>6168</v>
      </c>
    </row>
    <row r="3833" spans="1:4">
      <c r="A3833" t="s">
        <v>9729</v>
      </c>
      <c r="B3833">
        <v>22011</v>
      </c>
      <c r="C3833" t="s">
        <v>4950</v>
      </c>
      <c r="D3833" t="s">
        <v>6168</v>
      </c>
    </row>
    <row r="3834" spans="1:4">
      <c r="A3834" t="s">
        <v>9730</v>
      </c>
      <c r="B3834">
        <v>22012</v>
      </c>
      <c r="C3834" t="s">
        <v>9731</v>
      </c>
      <c r="D3834" t="s">
        <v>6168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9732</v>
      </c>
      <c r="B3836">
        <v>32241</v>
      </c>
      <c r="C3836" t="s">
        <v>8178</v>
      </c>
      <c r="D3836" t="s">
        <v>6168</v>
      </c>
    </row>
    <row r="3837" spans="1:4">
      <c r="A3837" t="s">
        <v>9733</v>
      </c>
      <c r="B3837">
        <v>2616</v>
      </c>
      <c r="C3837" t="s">
        <v>9734</v>
      </c>
      <c r="D3837" t="s">
        <v>6168</v>
      </c>
    </row>
    <row r="3838" spans="1:4">
      <c r="A3838" t="s">
        <v>9735</v>
      </c>
      <c r="B3838">
        <v>2617</v>
      </c>
      <c r="C3838" t="s">
        <v>1675</v>
      </c>
      <c r="D3838" t="s">
        <v>6168</v>
      </c>
    </row>
    <row r="3839" spans="1:4">
      <c r="A3839" t="s">
        <v>17001</v>
      </c>
      <c r="B3839">
        <v>44262</v>
      </c>
      <c r="C3839" t="s">
        <v>17002</v>
      </c>
      <c r="D3839" t="s">
        <v>123</v>
      </c>
    </row>
    <row r="3840" spans="1:4">
      <c r="A3840" t="s">
        <v>17023</v>
      </c>
      <c r="B3840">
        <v>44281</v>
      </c>
      <c r="C3840" t="s">
        <v>17024</v>
      </c>
      <c r="D3840" t="s">
        <v>6168</v>
      </c>
    </row>
    <row r="3841" spans="1:4">
      <c r="A3841" t="s">
        <v>16856</v>
      </c>
      <c r="B3841">
        <v>43905</v>
      </c>
      <c r="C3841" t="s">
        <v>3371</v>
      </c>
      <c r="D3841" t="s">
        <v>123</v>
      </c>
    </row>
    <row r="3842" spans="1:4">
      <c r="A3842" t="s">
        <v>9736</v>
      </c>
      <c r="B3842">
        <v>43464</v>
      </c>
      <c r="C3842" t="s">
        <v>9737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9738</v>
      </c>
      <c r="B3844">
        <v>2556</v>
      </c>
      <c r="C3844" t="s">
        <v>9739</v>
      </c>
      <c r="D3844" t="s">
        <v>6168</v>
      </c>
    </row>
    <row r="3845" spans="1:4">
      <c r="A3845" t="s">
        <v>9740</v>
      </c>
      <c r="B3845">
        <v>2557</v>
      </c>
      <c r="C3845" t="s">
        <v>9741</v>
      </c>
      <c r="D3845" t="s">
        <v>6168</v>
      </c>
    </row>
    <row r="3846" spans="1:4">
      <c r="A3846" t="s">
        <v>9742</v>
      </c>
      <c r="B3846">
        <v>43170</v>
      </c>
      <c r="C3846" t="s">
        <v>9743</v>
      </c>
      <c r="D3846" t="s">
        <v>6168</v>
      </c>
    </row>
    <row r="3847" spans="1:4">
      <c r="A3847" t="s">
        <v>9744</v>
      </c>
      <c r="B3847">
        <v>2558</v>
      </c>
      <c r="C3847" t="s">
        <v>9537</v>
      </c>
      <c r="D3847" t="s">
        <v>6168</v>
      </c>
    </row>
    <row r="3848" spans="1:4">
      <c r="A3848" t="s">
        <v>9745</v>
      </c>
      <c r="B3848">
        <v>2559</v>
      </c>
      <c r="C3848" t="s">
        <v>9746</v>
      </c>
      <c r="D3848" t="s">
        <v>6168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9747</v>
      </c>
      <c r="B3852">
        <v>30303</v>
      </c>
      <c r="C3852" t="s">
        <v>1381</v>
      </c>
      <c r="D3852" t="s">
        <v>6168</v>
      </c>
    </row>
    <row r="3853" spans="1:4">
      <c r="A3853" t="s">
        <v>9748</v>
      </c>
      <c r="B3853">
        <v>23422</v>
      </c>
      <c r="C3853" t="s">
        <v>8005</v>
      </c>
      <c r="D3853" t="s">
        <v>6168</v>
      </c>
    </row>
    <row r="3854" spans="1:4">
      <c r="A3854" t="s">
        <v>9749</v>
      </c>
      <c r="B3854">
        <v>23423</v>
      </c>
      <c r="C3854" t="s">
        <v>1899</v>
      </c>
      <c r="D3854" t="s">
        <v>6168</v>
      </c>
    </row>
    <row r="3855" spans="1:4">
      <c r="A3855" t="s">
        <v>9750</v>
      </c>
      <c r="B3855">
        <v>23424</v>
      </c>
      <c r="C3855" t="s">
        <v>8005</v>
      </c>
      <c r="D3855" t="s">
        <v>6168</v>
      </c>
    </row>
    <row r="3856" spans="1:4">
      <c r="A3856" t="s">
        <v>9751</v>
      </c>
      <c r="B3856">
        <v>23425</v>
      </c>
      <c r="C3856" t="s">
        <v>2626</v>
      </c>
      <c r="D3856" t="s">
        <v>6168</v>
      </c>
    </row>
    <row r="3857" spans="1:4">
      <c r="A3857" t="s">
        <v>9752</v>
      </c>
      <c r="B3857">
        <v>26365</v>
      </c>
      <c r="C3857" t="s">
        <v>4209</v>
      </c>
      <c r="D3857" t="s">
        <v>6168</v>
      </c>
    </row>
    <row r="3858" spans="1:4">
      <c r="A3858" t="s">
        <v>9753</v>
      </c>
      <c r="B3858">
        <v>30304</v>
      </c>
      <c r="C3858" t="s">
        <v>9754</v>
      </c>
      <c r="D3858" t="s">
        <v>6168</v>
      </c>
    </row>
    <row r="3859" spans="1:4">
      <c r="A3859" t="s">
        <v>9755</v>
      </c>
      <c r="B3859">
        <v>33959</v>
      </c>
      <c r="C3859" t="s">
        <v>9756</v>
      </c>
      <c r="D3859" t="s">
        <v>6267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9757</v>
      </c>
      <c r="B3861">
        <v>36332</v>
      </c>
      <c r="C3861" t="s">
        <v>9758</v>
      </c>
      <c r="D3861" t="s">
        <v>6168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9759</v>
      </c>
      <c r="B3863">
        <v>30858</v>
      </c>
      <c r="C3863" t="s">
        <v>9760</v>
      </c>
      <c r="D3863" t="s">
        <v>6168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9761</v>
      </c>
      <c r="B3866">
        <v>24361</v>
      </c>
      <c r="C3866" t="s">
        <v>9762</v>
      </c>
      <c r="D3866" t="s">
        <v>6168</v>
      </c>
    </row>
    <row r="3867" spans="1:4">
      <c r="A3867" t="s">
        <v>9763</v>
      </c>
      <c r="B3867">
        <v>3853</v>
      </c>
      <c r="C3867" t="s">
        <v>9764</v>
      </c>
      <c r="D3867" t="s">
        <v>6168</v>
      </c>
    </row>
    <row r="3868" spans="1:4">
      <c r="A3868" t="s">
        <v>9765</v>
      </c>
      <c r="B3868">
        <v>3851</v>
      </c>
      <c r="C3868" t="s">
        <v>9766</v>
      </c>
      <c r="D3868" t="s">
        <v>6168</v>
      </c>
    </row>
    <row r="3869" spans="1:4">
      <c r="A3869" t="s">
        <v>9767</v>
      </c>
      <c r="B3869">
        <v>3852</v>
      </c>
      <c r="C3869" t="s">
        <v>9768</v>
      </c>
      <c r="D3869" t="s">
        <v>6168</v>
      </c>
    </row>
    <row r="3870" spans="1:4">
      <c r="A3870" t="s">
        <v>9769</v>
      </c>
      <c r="B3870">
        <v>32829</v>
      </c>
      <c r="C3870" t="s">
        <v>9770</v>
      </c>
      <c r="D3870" t="s">
        <v>6168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9771</v>
      </c>
      <c r="B3872">
        <v>31238</v>
      </c>
      <c r="C3872" t="s">
        <v>1257</v>
      </c>
      <c r="D3872" t="s">
        <v>6168</v>
      </c>
    </row>
    <row r="3873" spans="1:4">
      <c r="A3873" t="s">
        <v>9772</v>
      </c>
      <c r="B3873">
        <v>38332</v>
      </c>
      <c r="D3873" t="s">
        <v>8049</v>
      </c>
    </row>
    <row r="3874" spans="1:4">
      <c r="A3874" t="s">
        <v>9773</v>
      </c>
      <c r="B3874">
        <v>23707</v>
      </c>
      <c r="C3874" t="s">
        <v>9774</v>
      </c>
      <c r="D3874" t="s">
        <v>9775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9776</v>
      </c>
      <c r="B3879">
        <v>633</v>
      </c>
      <c r="C3879" t="s">
        <v>9777</v>
      </c>
      <c r="D3879" t="s">
        <v>6168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9778</v>
      </c>
      <c r="B3882">
        <v>27381</v>
      </c>
      <c r="C3882" t="s">
        <v>9779</v>
      </c>
      <c r="D3882" t="s">
        <v>6168</v>
      </c>
    </row>
    <row r="3883" spans="1:4">
      <c r="A3883" t="s">
        <v>9780</v>
      </c>
      <c r="B3883">
        <v>23214</v>
      </c>
      <c r="C3883" t="s">
        <v>9781</v>
      </c>
      <c r="D3883" t="s">
        <v>6168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9782</v>
      </c>
      <c r="B3886">
        <v>3716</v>
      </c>
      <c r="C3886" t="s">
        <v>4105</v>
      </c>
      <c r="D3886" t="s">
        <v>6168</v>
      </c>
    </row>
    <row r="3887" spans="1:4">
      <c r="A3887" t="s">
        <v>9783</v>
      </c>
      <c r="B3887">
        <v>3717</v>
      </c>
      <c r="C3887" t="s">
        <v>9784</v>
      </c>
      <c r="D3887" t="s">
        <v>6168</v>
      </c>
    </row>
    <row r="3888" spans="1:4">
      <c r="A3888" t="s">
        <v>9785</v>
      </c>
      <c r="B3888">
        <v>23149</v>
      </c>
      <c r="C3888" t="s">
        <v>9786</v>
      </c>
      <c r="D3888" t="s">
        <v>6243</v>
      </c>
    </row>
    <row r="3889" spans="1:4">
      <c r="A3889" t="s">
        <v>9787</v>
      </c>
      <c r="B3889">
        <v>3117</v>
      </c>
      <c r="D3889" t="s">
        <v>6243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9788</v>
      </c>
      <c r="B3891">
        <v>3724</v>
      </c>
      <c r="C3891" t="s">
        <v>2323</v>
      </c>
      <c r="D3891" t="s">
        <v>6168</v>
      </c>
    </row>
    <row r="3892" spans="1:4">
      <c r="A3892" t="s">
        <v>9789</v>
      </c>
      <c r="B3892">
        <v>3725</v>
      </c>
      <c r="C3892" t="s">
        <v>4105</v>
      </c>
      <c r="D3892" t="s">
        <v>6168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9790</v>
      </c>
      <c r="B3895">
        <v>4476</v>
      </c>
      <c r="C3895" t="s">
        <v>9791</v>
      </c>
      <c r="D3895" t="s">
        <v>6168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9792</v>
      </c>
      <c r="B3897">
        <v>40535</v>
      </c>
      <c r="D3897" t="s">
        <v>6168</v>
      </c>
    </row>
    <row r="3898" spans="1:4">
      <c r="A3898" t="s">
        <v>9793</v>
      </c>
      <c r="B3898">
        <v>43013</v>
      </c>
      <c r="C3898" t="s">
        <v>9794</v>
      </c>
      <c r="D3898" t="s">
        <v>6168</v>
      </c>
    </row>
    <row r="3899" spans="1:4">
      <c r="A3899" t="s">
        <v>17267</v>
      </c>
      <c r="B3899">
        <v>45351</v>
      </c>
      <c r="C3899" t="s">
        <v>9796</v>
      </c>
      <c r="D3899" t="s">
        <v>6168</v>
      </c>
    </row>
    <row r="3900" spans="1:4">
      <c r="A3900" t="s">
        <v>9795</v>
      </c>
      <c r="B3900">
        <v>35240</v>
      </c>
      <c r="C3900" t="s">
        <v>9796</v>
      </c>
      <c r="D3900" t="s">
        <v>6168</v>
      </c>
    </row>
    <row r="3901" spans="1:4">
      <c r="A3901" t="s">
        <v>9797</v>
      </c>
      <c r="B3901">
        <v>25317</v>
      </c>
      <c r="C3901" t="s">
        <v>9798</v>
      </c>
      <c r="D3901" t="s">
        <v>6168</v>
      </c>
    </row>
    <row r="3902" spans="1:4">
      <c r="A3902" t="s">
        <v>9799</v>
      </c>
      <c r="B3902">
        <v>25318</v>
      </c>
      <c r="C3902" t="s">
        <v>6971</v>
      </c>
      <c r="D3902" t="s">
        <v>6168</v>
      </c>
    </row>
    <row r="3903" spans="1:4">
      <c r="A3903" t="s">
        <v>17268</v>
      </c>
      <c r="B3903">
        <v>45352</v>
      </c>
      <c r="C3903" t="s">
        <v>17269</v>
      </c>
      <c r="D3903" t="s">
        <v>6168</v>
      </c>
    </row>
    <row r="3904" spans="1:4">
      <c r="A3904" t="s">
        <v>9800</v>
      </c>
      <c r="B3904">
        <v>43603</v>
      </c>
      <c r="C3904" t="s">
        <v>9801</v>
      </c>
      <c r="D3904" t="s">
        <v>123</v>
      </c>
    </row>
    <row r="3905" spans="1:4">
      <c r="A3905" t="s">
        <v>9802</v>
      </c>
      <c r="B3905">
        <v>43615</v>
      </c>
      <c r="C3905" t="s">
        <v>6330</v>
      </c>
      <c r="D3905" t="s">
        <v>6168</v>
      </c>
    </row>
    <row r="3906" spans="1:4">
      <c r="A3906" t="s">
        <v>17063</v>
      </c>
      <c r="B3906">
        <v>44320</v>
      </c>
      <c r="C3906" t="s">
        <v>6330</v>
      </c>
      <c r="D3906" t="s">
        <v>6168</v>
      </c>
    </row>
    <row r="3907" spans="1:4">
      <c r="A3907" t="s">
        <v>9803</v>
      </c>
      <c r="B3907">
        <v>25941</v>
      </c>
      <c r="D3907" t="s">
        <v>6314</v>
      </c>
    </row>
    <row r="3908" spans="1:4">
      <c r="A3908" t="s">
        <v>17270</v>
      </c>
      <c r="B3908">
        <v>45353</v>
      </c>
      <c r="C3908" t="s">
        <v>6811</v>
      </c>
      <c r="D3908" t="s">
        <v>123</v>
      </c>
    </row>
    <row r="3909" spans="1:4">
      <c r="A3909" t="s">
        <v>17390</v>
      </c>
      <c r="B3909">
        <v>45484</v>
      </c>
      <c r="C3909" t="s">
        <v>17391</v>
      </c>
      <c r="D3909" t="s">
        <v>6168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9804</v>
      </c>
      <c r="B3911">
        <v>24644</v>
      </c>
      <c r="C3911" t="s">
        <v>9805</v>
      </c>
      <c r="D3911" t="s">
        <v>6168</v>
      </c>
    </row>
    <row r="3912" spans="1:4">
      <c r="A3912" t="s">
        <v>9806</v>
      </c>
      <c r="B3912">
        <v>29695</v>
      </c>
      <c r="C3912" t="s">
        <v>7430</v>
      </c>
      <c r="D3912" t="s">
        <v>6168</v>
      </c>
    </row>
    <row r="3913" spans="1:4">
      <c r="A3913" t="s">
        <v>9807</v>
      </c>
      <c r="B3913">
        <v>24961</v>
      </c>
      <c r="C3913" t="s">
        <v>9808</v>
      </c>
      <c r="D3913" t="s">
        <v>6168</v>
      </c>
    </row>
    <row r="3914" spans="1:4">
      <c r="A3914" t="s">
        <v>9809</v>
      </c>
      <c r="B3914">
        <v>39694</v>
      </c>
      <c r="C3914" t="s">
        <v>9810</v>
      </c>
      <c r="D3914" t="s">
        <v>6168</v>
      </c>
    </row>
    <row r="3915" spans="1:4">
      <c r="A3915" t="s">
        <v>9811</v>
      </c>
      <c r="B3915">
        <v>35662</v>
      </c>
      <c r="C3915" t="s">
        <v>6719</v>
      </c>
      <c r="D3915" t="s">
        <v>6168</v>
      </c>
    </row>
    <row r="3916" spans="1:4">
      <c r="A3916" t="s">
        <v>9812</v>
      </c>
      <c r="B3916">
        <v>24645</v>
      </c>
      <c r="C3916" t="s">
        <v>9813</v>
      </c>
      <c r="D3916" t="s">
        <v>6168</v>
      </c>
    </row>
    <row r="3917" spans="1:4">
      <c r="A3917" t="s">
        <v>9814</v>
      </c>
      <c r="B3917">
        <v>24646</v>
      </c>
      <c r="C3917" t="s">
        <v>644</v>
      </c>
      <c r="D3917" t="s">
        <v>6168</v>
      </c>
    </row>
    <row r="3918" spans="1:4">
      <c r="A3918" t="s">
        <v>9815</v>
      </c>
      <c r="B3918">
        <v>24647</v>
      </c>
      <c r="C3918" t="s">
        <v>8174</v>
      </c>
      <c r="D3918" t="s">
        <v>6168</v>
      </c>
    </row>
    <row r="3919" spans="1:4">
      <c r="A3919" t="s">
        <v>9816</v>
      </c>
      <c r="B3919">
        <v>33971</v>
      </c>
      <c r="C3919" t="s">
        <v>9817</v>
      </c>
      <c r="D3919" t="s">
        <v>6168</v>
      </c>
    </row>
    <row r="3920" spans="1:4">
      <c r="A3920" t="s">
        <v>9818</v>
      </c>
      <c r="B3920">
        <v>33972</v>
      </c>
      <c r="C3920" t="s">
        <v>9819</v>
      </c>
      <c r="D3920" t="s">
        <v>6168</v>
      </c>
    </row>
    <row r="3921" spans="1:4">
      <c r="A3921" t="s">
        <v>9820</v>
      </c>
      <c r="B3921">
        <v>34987</v>
      </c>
      <c r="C3921" t="s">
        <v>2924</v>
      </c>
      <c r="D3921" t="s">
        <v>6267</v>
      </c>
    </row>
    <row r="3922" spans="1:4">
      <c r="A3922" t="s">
        <v>9821</v>
      </c>
      <c r="B3922">
        <v>30049</v>
      </c>
      <c r="C3922" t="s">
        <v>9822</v>
      </c>
      <c r="D3922" t="s">
        <v>6168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9823</v>
      </c>
      <c r="B3924">
        <v>22014</v>
      </c>
      <c r="C3924" t="s">
        <v>9824</v>
      </c>
      <c r="D3924" t="s">
        <v>6168</v>
      </c>
    </row>
    <row r="3925" spans="1:4">
      <c r="A3925" t="s">
        <v>9825</v>
      </c>
      <c r="B3925">
        <v>39528</v>
      </c>
      <c r="C3925" t="s">
        <v>9826</v>
      </c>
      <c r="D3925" t="s">
        <v>6230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9827</v>
      </c>
      <c r="B3929">
        <v>42760</v>
      </c>
      <c r="C3929" t="s">
        <v>7965</v>
      </c>
      <c r="D3929" t="s">
        <v>6168</v>
      </c>
    </row>
    <row r="3930" spans="1:4">
      <c r="A3930" t="s">
        <v>9828</v>
      </c>
      <c r="B3930">
        <v>29892</v>
      </c>
      <c r="C3930" t="s">
        <v>9829</v>
      </c>
      <c r="D3930" t="s">
        <v>6168</v>
      </c>
    </row>
    <row r="3931" spans="1:4">
      <c r="A3931" t="s">
        <v>9830</v>
      </c>
      <c r="B3931">
        <v>42966</v>
      </c>
      <c r="C3931" t="s">
        <v>9831</v>
      </c>
      <c r="D3931" t="s">
        <v>6168</v>
      </c>
    </row>
    <row r="3932" spans="1:4">
      <c r="A3932" t="s">
        <v>9832</v>
      </c>
      <c r="B3932">
        <v>34132</v>
      </c>
      <c r="C3932" t="s">
        <v>4950</v>
      </c>
      <c r="D3932" t="s">
        <v>6168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9833</v>
      </c>
      <c r="B3934">
        <v>3709</v>
      </c>
      <c r="C3934" t="s">
        <v>9834</v>
      </c>
      <c r="D3934" t="s">
        <v>6168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9835</v>
      </c>
      <c r="B3936">
        <v>22016</v>
      </c>
      <c r="C3936" t="s">
        <v>9836</v>
      </c>
      <c r="D3936" t="s">
        <v>6168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17271</v>
      </c>
      <c r="B3938">
        <v>45354</v>
      </c>
      <c r="C3938" t="s">
        <v>8859</v>
      </c>
      <c r="D3938" t="s">
        <v>6168</v>
      </c>
    </row>
    <row r="3939" spans="1:4">
      <c r="A3939" t="s">
        <v>9837</v>
      </c>
      <c r="B3939">
        <v>24133</v>
      </c>
      <c r="C3939" t="s">
        <v>6657</v>
      </c>
      <c r="D3939" t="s">
        <v>6168</v>
      </c>
    </row>
    <row r="3940" spans="1:4">
      <c r="A3940" t="s">
        <v>9838</v>
      </c>
      <c r="B3940">
        <v>23547</v>
      </c>
      <c r="C3940" t="s">
        <v>4310</v>
      </c>
      <c r="D3940" t="s">
        <v>6241</v>
      </c>
    </row>
    <row r="3941" spans="1:4">
      <c r="A3941" t="s">
        <v>9839</v>
      </c>
      <c r="B3941">
        <v>31113</v>
      </c>
      <c r="C3941" t="s">
        <v>7336</v>
      </c>
      <c r="D3941" t="s">
        <v>6168</v>
      </c>
    </row>
    <row r="3942" spans="1:4">
      <c r="A3942" t="s">
        <v>9840</v>
      </c>
      <c r="B3942">
        <v>31765</v>
      </c>
      <c r="C3942" t="s">
        <v>7630</v>
      </c>
      <c r="D3942" t="s">
        <v>6168</v>
      </c>
    </row>
    <row r="3943" spans="1:4">
      <c r="A3943" t="s">
        <v>9841</v>
      </c>
      <c r="B3943">
        <v>31766</v>
      </c>
      <c r="C3943" t="s">
        <v>9842</v>
      </c>
      <c r="D3943" t="s">
        <v>6168</v>
      </c>
    </row>
    <row r="3944" spans="1:4">
      <c r="A3944" t="s">
        <v>9843</v>
      </c>
      <c r="B3944">
        <v>31767</v>
      </c>
      <c r="C3944" t="s">
        <v>9844</v>
      </c>
      <c r="D3944" t="s">
        <v>6168</v>
      </c>
    </row>
    <row r="3945" spans="1:4">
      <c r="A3945" t="s">
        <v>9845</v>
      </c>
      <c r="B3945">
        <v>31768</v>
      </c>
      <c r="C3945" t="s">
        <v>9846</v>
      </c>
      <c r="D3945" t="s">
        <v>6168</v>
      </c>
    </row>
    <row r="3946" spans="1:4">
      <c r="A3946" t="s">
        <v>9847</v>
      </c>
      <c r="B3946">
        <v>31112</v>
      </c>
      <c r="C3946" t="s">
        <v>6924</v>
      </c>
      <c r="D3946" t="s">
        <v>6168</v>
      </c>
    </row>
    <row r="3947" spans="1:4">
      <c r="A3947" t="s">
        <v>9848</v>
      </c>
      <c r="B3947">
        <v>31769</v>
      </c>
      <c r="C3947" t="s">
        <v>9849</v>
      </c>
      <c r="D3947" t="s">
        <v>6168</v>
      </c>
    </row>
    <row r="3948" spans="1:4">
      <c r="A3948" t="s">
        <v>9850</v>
      </c>
      <c r="B3948">
        <v>31790</v>
      </c>
      <c r="C3948" t="s">
        <v>9851</v>
      </c>
      <c r="D3948" t="s">
        <v>6168</v>
      </c>
    </row>
    <row r="3949" spans="1:4">
      <c r="A3949" t="s">
        <v>9852</v>
      </c>
      <c r="B3949">
        <v>31770</v>
      </c>
      <c r="C3949" t="s">
        <v>9846</v>
      </c>
      <c r="D3949" t="s">
        <v>6168</v>
      </c>
    </row>
    <row r="3950" spans="1:4">
      <c r="A3950" t="s">
        <v>9853</v>
      </c>
      <c r="B3950">
        <v>31771</v>
      </c>
      <c r="C3950" t="s">
        <v>9849</v>
      </c>
      <c r="D3950" t="s">
        <v>6168</v>
      </c>
    </row>
    <row r="3951" spans="1:4">
      <c r="A3951" t="s">
        <v>9854</v>
      </c>
      <c r="B3951">
        <v>33973</v>
      </c>
      <c r="D3951" t="s">
        <v>6322</v>
      </c>
    </row>
    <row r="3952" spans="1:4">
      <c r="A3952" t="s">
        <v>9855</v>
      </c>
      <c r="B3952">
        <v>26363</v>
      </c>
      <c r="D3952" t="s">
        <v>6322</v>
      </c>
    </row>
    <row r="3953" spans="1:4">
      <c r="A3953" t="s">
        <v>9856</v>
      </c>
      <c r="B3953">
        <v>43028</v>
      </c>
      <c r="C3953" t="s">
        <v>9857</v>
      </c>
      <c r="D3953" t="s">
        <v>6292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9858</v>
      </c>
      <c r="B3957">
        <v>24922</v>
      </c>
      <c r="C3957" t="s">
        <v>9859</v>
      </c>
      <c r="D3957" t="s">
        <v>6168</v>
      </c>
    </row>
    <row r="3958" spans="1:4">
      <c r="A3958" t="s">
        <v>9860</v>
      </c>
      <c r="B3958">
        <v>26362</v>
      </c>
      <c r="C3958" t="s">
        <v>9861</v>
      </c>
      <c r="D3958" t="s">
        <v>6168</v>
      </c>
    </row>
    <row r="3959" spans="1:4">
      <c r="A3959" t="s">
        <v>9862</v>
      </c>
      <c r="B3959">
        <v>31303</v>
      </c>
      <c r="C3959" t="s">
        <v>9863</v>
      </c>
      <c r="D3959" t="s">
        <v>6168</v>
      </c>
    </row>
    <row r="3960" spans="1:4">
      <c r="A3960" t="s">
        <v>9864</v>
      </c>
      <c r="B3960">
        <v>31085</v>
      </c>
      <c r="C3960" t="s">
        <v>9865</v>
      </c>
      <c r="D3960" t="s">
        <v>6168</v>
      </c>
    </row>
    <row r="3961" spans="1:4">
      <c r="A3961" t="s">
        <v>9866</v>
      </c>
      <c r="B3961">
        <v>31273</v>
      </c>
      <c r="C3961" t="s">
        <v>9867</v>
      </c>
      <c r="D3961" t="s">
        <v>6168</v>
      </c>
    </row>
    <row r="3962" spans="1:4">
      <c r="A3962" t="s">
        <v>9868</v>
      </c>
      <c r="B3962">
        <v>26361</v>
      </c>
      <c r="C3962" t="s">
        <v>9869</v>
      </c>
      <c r="D3962" t="s">
        <v>6168</v>
      </c>
    </row>
    <row r="3963" spans="1:4">
      <c r="A3963" t="s">
        <v>9870</v>
      </c>
      <c r="B3963">
        <v>35658</v>
      </c>
      <c r="C3963" t="s">
        <v>9871</v>
      </c>
      <c r="D3963" t="s">
        <v>6168</v>
      </c>
    </row>
    <row r="3964" spans="1:4">
      <c r="A3964" t="s">
        <v>9872</v>
      </c>
      <c r="B3964">
        <v>23426</v>
      </c>
      <c r="C3964" t="s">
        <v>9867</v>
      </c>
      <c r="D3964" t="s">
        <v>6168</v>
      </c>
    </row>
    <row r="3965" spans="1:4">
      <c r="A3965" t="s">
        <v>9873</v>
      </c>
      <c r="B3965">
        <v>26360</v>
      </c>
      <c r="C3965" t="s">
        <v>9874</v>
      </c>
      <c r="D3965" t="s">
        <v>6168</v>
      </c>
    </row>
    <row r="3966" spans="1:4">
      <c r="A3966" t="s">
        <v>9875</v>
      </c>
      <c r="B3966">
        <v>23427</v>
      </c>
      <c r="C3966" t="s">
        <v>9876</v>
      </c>
      <c r="D3966" t="s">
        <v>6168</v>
      </c>
    </row>
    <row r="3967" spans="1:4">
      <c r="A3967" t="s">
        <v>9877</v>
      </c>
      <c r="B3967">
        <v>26359</v>
      </c>
      <c r="C3967" t="s">
        <v>9878</v>
      </c>
      <c r="D3967" t="s">
        <v>6168</v>
      </c>
    </row>
    <row r="3968" spans="1:4">
      <c r="A3968" t="s">
        <v>9879</v>
      </c>
      <c r="B3968">
        <v>24134</v>
      </c>
      <c r="C3968" t="s">
        <v>2374</v>
      </c>
      <c r="D3968" t="s">
        <v>6168</v>
      </c>
    </row>
    <row r="3969" spans="1:4">
      <c r="A3969" t="s">
        <v>9880</v>
      </c>
      <c r="B3969">
        <v>20595</v>
      </c>
      <c r="C3969" t="s">
        <v>9881</v>
      </c>
      <c r="D3969" t="s">
        <v>6243</v>
      </c>
    </row>
    <row r="3970" spans="1:4">
      <c r="A3970" t="s">
        <v>9882</v>
      </c>
      <c r="B3970">
        <v>40534</v>
      </c>
      <c r="C3970" t="s">
        <v>9883</v>
      </c>
      <c r="D3970" t="s">
        <v>9884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9885</v>
      </c>
      <c r="B3972">
        <v>68</v>
      </c>
      <c r="C3972" t="s">
        <v>9886</v>
      </c>
      <c r="D3972" t="s">
        <v>6168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9887</v>
      </c>
      <c r="B3974">
        <v>30286</v>
      </c>
      <c r="C3974" t="s">
        <v>4372</v>
      </c>
      <c r="D3974" t="s">
        <v>6168</v>
      </c>
    </row>
    <row r="3975" spans="1:4">
      <c r="A3975" t="s">
        <v>9888</v>
      </c>
      <c r="B3975">
        <v>25127</v>
      </c>
      <c r="C3975" t="s">
        <v>6851</v>
      </c>
      <c r="D3975" t="s">
        <v>6168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9889</v>
      </c>
      <c r="B3977">
        <v>40533</v>
      </c>
      <c r="C3977" t="s">
        <v>6879</v>
      </c>
      <c r="D3977" t="s">
        <v>6168</v>
      </c>
    </row>
    <row r="3978" spans="1:4">
      <c r="A3978" t="s">
        <v>9890</v>
      </c>
      <c r="B3978">
        <v>23187</v>
      </c>
      <c r="C3978" t="s">
        <v>9891</v>
      </c>
      <c r="D3978" t="s">
        <v>6305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9892</v>
      </c>
      <c r="B3980">
        <v>22018</v>
      </c>
      <c r="C3980" t="s">
        <v>3728</v>
      </c>
      <c r="D3980" t="s">
        <v>6314</v>
      </c>
    </row>
    <row r="3981" spans="1:4">
      <c r="A3981" t="s">
        <v>9893</v>
      </c>
      <c r="B3981">
        <v>3826</v>
      </c>
      <c r="C3981" t="s">
        <v>9894</v>
      </c>
      <c r="D3981" t="s">
        <v>6241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9895</v>
      </c>
      <c r="B3983">
        <v>23709</v>
      </c>
      <c r="C3983" t="s">
        <v>4209</v>
      </c>
      <c r="D3983" t="s">
        <v>6168</v>
      </c>
    </row>
    <row r="3984" spans="1:4">
      <c r="A3984" t="s">
        <v>9896</v>
      </c>
      <c r="B3984">
        <v>29702</v>
      </c>
      <c r="C3984" t="s">
        <v>9897</v>
      </c>
      <c r="D3984" t="s">
        <v>6168</v>
      </c>
    </row>
    <row r="3985" spans="1:4">
      <c r="A3985" t="s">
        <v>9898</v>
      </c>
      <c r="B3985">
        <v>33974</v>
      </c>
      <c r="C3985" t="s">
        <v>9899</v>
      </c>
      <c r="D3985" t="s">
        <v>6168</v>
      </c>
    </row>
    <row r="3986" spans="1:4">
      <c r="A3986" t="s">
        <v>9900</v>
      </c>
      <c r="B3986">
        <v>23710</v>
      </c>
      <c r="C3986" t="s">
        <v>6724</v>
      </c>
      <c r="D3986" t="s">
        <v>6168</v>
      </c>
    </row>
    <row r="3987" spans="1:4">
      <c r="A3987" t="s">
        <v>9901</v>
      </c>
      <c r="B3987">
        <v>23711</v>
      </c>
      <c r="C3987" t="s">
        <v>9902</v>
      </c>
      <c r="D3987" t="s">
        <v>6168</v>
      </c>
    </row>
    <row r="3988" spans="1:4">
      <c r="A3988" t="s">
        <v>9903</v>
      </c>
      <c r="B3988">
        <v>39635</v>
      </c>
      <c r="C3988" t="s">
        <v>9904</v>
      </c>
      <c r="D3988" t="s">
        <v>6230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9905</v>
      </c>
      <c r="B3990">
        <v>24135</v>
      </c>
      <c r="C3990" t="s">
        <v>2941</v>
      </c>
      <c r="D3990" t="s">
        <v>6168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9906</v>
      </c>
      <c r="B3992">
        <v>26358</v>
      </c>
      <c r="C3992" t="s">
        <v>1128</v>
      </c>
      <c r="D3992" t="s">
        <v>6168</v>
      </c>
    </row>
    <row r="3993" spans="1:4">
      <c r="A3993" t="s">
        <v>9907</v>
      </c>
      <c r="B3993">
        <v>40532</v>
      </c>
      <c r="C3993" t="s">
        <v>1114</v>
      </c>
      <c r="D3993" t="s">
        <v>6168</v>
      </c>
    </row>
    <row r="3994" spans="1:4">
      <c r="A3994" t="s">
        <v>9908</v>
      </c>
      <c r="B3994">
        <v>24649</v>
      </c>
      <c r="C3994" t="s">
        <v>8434</v>
      </c>
      <c r="D3994" t="s">
        <v>6168</v>
      </c>
    </row>
    <row r="3995" spans="1:4">
      <c r="A3995" t="s">
        <v>9909</v>
      </c>
      <c r="B3995">
        <v>30305</v>
      </c>
      <c r="C3995" t="s">
        <v>2626</v>
      </c>
      <c r="D3995" t="s">
        <v>6168</v>
      </c>
    </row>
    <row r="3996" spans="1:4">
      <c r="A3996" t="s">
        <v>9910</v>
      </c>
      <c r="B3996">
        <v>40531</v>
      </c>
      <c r="C3996" t="s">
        <v>9911</v>
      </c>
      <c r="D3996" t="s">
        <v>6168</v>
      </c>
    </row>
    <row r="3997" spans="1:4">
      <c r="A3997" t="s">
        <v>9912</v>
      </c>
      <c r="B3997">
        <v>23713</v>
      </c>
      <c r="C3997" t="s">
        <v>7741</v>
      </c>
      <c r="D3997" t="s">
        <v>6168</v>
      </c>
    </row>
    <row r="3998" spans="1:4">
      <c r="A3998" t="s">
        <v>9913</v>
      </c>
      <c r="B3998">
        <v>23714</v>
      </c>
      <c r="D3998" t="s">
        <v>6314</v>
      </c>
    </row>
    <row r="3999" spans="1:4">
      <c r="A3999" t="s">
        <v>9913</v>
      </c>
      <c r="B3999">
        <v>44264</v>
      </c>
      <c r="C3999" t="s">
        <v>172</v>
      </c>
      <c r="D3999" t="s">
        <v>123</v>
      </c>
    </row>
    <row r="4000" spans="1:4">
      <c r="A4000" t="s">
        <v>17025</v>
      </c>
      <c r="B4000">
        <v>44282</v>
      </c>
      <c r="C4000" t="s">
        <v>6601</v>
      </c>
      <c r="D4000" t="s">
        <v>6168</v>
      </c>
    </row>
    <row r="4001" spans="1:4">
      <c r="A4001" t="s">
        <v>17026</v>
      </c>
      <c r="B4001">
        <v>44283</v>
      </c>
      <c r="C4001" t="s">
        <v>17027</v>
      </c>
      <c r="D4001" t="s">
        <v>6168</v>
      </c>
    </row>
    <row r="4002" spans="1:4">
      <c r="A4002" t="s">
        <v>17028</v>
      </c>
      <c r="B4002">
        <v>44284</v>
      </c>
      <c r="C4002" t="s">
        <v>14891</v>
      </c>
      <c r="D4002" t="s">
        <v>6168</v>
      </c>
    </row>
    <row r="4003" spans="1:4">
      <c r="A4003" t="s">
        <v>17029</v>
      </c>
      <c r="B4003">
        <v>44285</v>
      </c>
      <c r="C4003" t="s">
        <v>172</v>
      </c>
      <c r="D4003" t="s">
        <v>6168</v>
      </c>
    </row>
    <row r="4004" spans="1:4">
      <c r="A4004" t="s">
        <v>17030</v>
      </c>
      <c r="B4004">
        <v>44286</v>
      </c>
      <c r="C4004" t="s">
        <v>6546</v>
      </c>
      <c r="D4004" t="s">
        <v>6168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9914</v>
      </c>
      <c r="B4006">
        <v>29875</v>
      </c>
      <c r="C4006" t="s">
        <v>6219</v>
      </c>
      <c r="D4006" t="s">
        <v>6168</v>
      </c>
    </row>
    <row r="4007" spans="1:4">
      <c r="A4007" t="s">
        <v>9915</v>
      </c>
      <c r="B4007">
        <v>23244</v>
      </c>
      <c r="D4007" t="s">
        <v>6245</v>
      </c>
    </row>
    <row r="4008" spans="1:4">
      <c r="A4008" t="s">
        <v>9916</v>
      </c>
      <c r="B4008">
        <v>24650</v>
      </c>
      <c r="D4008" t="s">
        <v>6314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17272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9917</v>
      </c>
      <c r="B4012">
        <v>40943</v>
      </c>
      <c r="C4012" t="s">
        <v>9918</v>
      </c>
      <c r="D4012" t="s">
        <v>6168</v>
      </c>
    </row>
    <row r="4013" spans="1:4">
      <c r="A4013" t="s">
        <v>9919</v>
      </c>
      <c r="B4013">
        <v>39515</v>
      </c>
      <c r="C4013" t="s">
        <v>9920</v>
      </c>
      <c r="D4013" t="s">
        <v>6230</v>
      </c>
    </row>
    <row r="4014" spans="1:4">
      <c r="A4014" t="s">
        <v>9921</v>
      </c>
      <c r="B4014">
        <v>4060</v>
      </c>
      <c r="C4014" t="s">
        <v>1073</v>
      </c>
      <c r="D4014" t="s">
        <v>6245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9922</v>
      </c>
      <c r="B4017">
        <v>30306</v>
      </c>
      <c r="C4017" t="s">
        <v>9923</v>
      </c>
      <c r="D4017" t="s">
        <v>6168</v>
      </c>
    </row>
    <row r="4018" spans="1:4">
      <c r="A4018" t="s">
        <v>9924</v>
      </c>
      <c r="B4018">
        <v>26357</v>
      </c>
      <c r="C4018" t="s">
        <v>9925</v>
      </c>
      <c r="D4018" t="s">
        <v>6168</v>
      </c>
    </row>
    <row r="4019" spans="1:4">
      <c r="A4019" t="s">
        <v>9926</v>
      </c>
      <c r="B4019">
        <v>24651</v>
      </c>
      <c r="C4019" t="s">
        <v>1128</v>
      </c>
      <c r="D4019" t="s">
        <v>6168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9927</v>
      </c>
      <c r="B4023">
        <v>41558</v>
      </c>
      <c r="C4023" t="s">
        <v>8724</v>
      </c>
      <c r="D4023" t="s">
        <v>6168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9928</v>
      </c>
      <c r="B4026">
        <v>4451</v>
      </c>
      <c r="C4026" t="s">
        <v>4594</v>
      </c>
      <c r="D4026" t="s">
        <v>6168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9929</v>
      </c>
      <c r="B4029">
        <v>23716</v>
      </c>
      <c r="C4029" t="s">
        <v>8466</v>
      </c>
      <c r="D4029" t="s">
        <v>6168</v>
      </c>
    </row>
    <row r="4030" spans="1:4">
      <c r="A4030" t="s">
        <v>9930</v>
      </c>
      <c r="B4030">
        <v>33975</v>
      </c>
      <c r="C4030" t="s">
        <v>7741</v>
      </c>
      <c r="D4030" t="s">
        <v>6168</v>
      </c>
    </row>
    <row r="4031" spans="1:4">
      <c r="A4031" t="s">
        <v>9931</v>
      </c>
      <c r="B4031">
        <v>22019</v>
      </c>
      <c r="C4031" t="s">
        <v>9932</v>
      </c>
      <c r="D4031" t="s">
        <v>6245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9933</v>
      </c>
      <c r="B4033">
        <v>30623</v>
      </c>
      <c r="C4033" t="s">
        <v>7430</v>
      </c>
      <c r="D4033" t="s">
        <v>6168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9934</v>
      </c>
      <c r="B4036">
        <v>23362</v>
      </c>
      <c r="C4036" t="s">
        <v>9935</v>
      </c>
      <c r="D4036" t="s">
        <v>6168</v>
      </c>
    </row>
    <row r="4037" spans="1:4">
      <c r="A4037" t="s">
        <v>9936</v>
      </c>
      <c r="B4037">
        <v>33976</v>
      </c>
      <c r="C4037" t="s">
        <v>9937</v>
      </c>
      <c r="D4037" t="s">
        <v>6168</v>
      </c>
    </row>
    <row r="4038" spans="1:4">
      <c r="A4038" t="s">
        <v>9938</v>
      </c>
      <c r="B4038">
        <v>4317</v>
      </c>
      <c r="C4038" t="s">
        <v>409</v>
      </c>
      <c r="D4038" t="s">
        <v>6168</v>
      </c>
    </row>
    <row r="4039" spans="1:4">
      <c r="A4039" t="s">
        <v>9939</v>
      </c>
      <c r="B4039">
        <v>23590</v>
      </c>
      <c r="C4039" t="s">
        <v>9940</v>
      </c>
      <c r="D4039" t="s">
        <v>6168</v>
      </c>
    </row>
    <row r="4040" spans="1:4">
      <c r="A4040" t="s">
        <v>17273</v>
      </c>
      <c r="B4040">
        <v>45356</v>
      </c>
      <c r="C4040" t="s">
        <v>17274</v>
      </c>
      <c r="D4040" t="s">
        <v>6168</v>
      </c>
    </row>
    <row r="4041" spans="1:4">
      <c r="A4041" t="s">
        <v>9941</v>
      </c>
      <c r="B4041">
        <v>30308</v>
      </c>
      <c r="C4041" t="s">
        <v>7800</v>
      </c>
      <c r="D4041" t="s">
        <v>6168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9942</v>
      </c>
      <c r="B4044">
        <v>40529</v>
      </c>
      <c r="C4044" t="s">
        <v>9943</v>
      </c>
      <c r="D4044" t="s">
        <v>6314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9944</v>
      </c>
      <c r="B4046">
        <v>3989</v>
      </c>
      <c r="C4046" t="s">
        <v>6914</v>
      </c>
      <c r="D4046" t="s">
        <v>6168</v>
      </c>
    </row>
    <row r="4047" spans="1:4">
      <c r="A4047" t="s">
        <v>9945</v>
      </c>
      <c r="B4047">
        <v>3990</v>
      </c>
      <c r="C4047" t="s">
        <v>9946</v>
      </c>
      <c r="D4047" t="s">
        <v>6168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9947</v>
      </c>
      <c r="B4049">
        <v>30617</v>
      </c>
      <c r="C4049" t="s">
        <v>6409</v>
      </c>
      <c r="D4049" t="s">
        <v>6168</v>
      </c>
    </row>
    <row r="4050" spans="1:4">
      <c r="A4050" t="s">
        <v>9948</v>
      </c>
      <c r="B4050">
        <v>31440</v>
      </c>
      <c r="C4050" t="s">
        <v>6934</v>
      </c>
      <c r="D4050" t="s">
        <v>6168</v>
      </c>
    </row>
    <row r="4051" spans="1:4">
      <c r="A4051" t="s">
        <v>9949</v>
      </c>
      <c r="B4051">
        <v>39713</v>
      </c>
      <c r="C4051" t="s">
        <v>9950</v>
      </c>
      <c r="D4051" t="s">
        <v>6168</v>
      </c>
    </row>
    <row r="4052" spans="1:4">
      <c r="A4052" t="s">
        <v>9951</v>
      </c>
      <c r="B4052">
        <v>39714</v>
      </c>
      <c r="C4052" t="s">
        <v>9952</v>
      </c>
      <c r="D4052" t="s">
        <v>6168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9953</v>
      </c>
      <c r="B4054">
        <v>29232</v>
      </c>
      <c r="C4054" t="s">
        <v>1294</v>
      </c>
      <c r="D4054" t="s">
        <v>6168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17444</v>
      </c>
      <c r="B4057">
        <v>45735</v>
      </c>
      <c r="C4057" t="s">
        <v>6178</v>
      </c>
      <c r="D4057" t="s">
        <v>6168</v>
      </c>
    </row>
    <row r="4058" spans="1:4">
      <c r="A4058" t="s">
        <v>9954</v>
      </c>
      <c r="B4058">
        <v>22021</v>
      </c>
      <c r="C4058" t="s">
        <v>7145</v>
      </c>
      <c r="D4058" t="s">
        <v>6168</v>
      </c>
    </row>
    <row r="4059" spans="1:4">
      <c r="A4059" t="s">
        <v>9955</v>
      </c>
      <c r="B4059">
        <v>22022</v>
      </c>
      <c r="C4059" t="s">
        <v>9956</v>
      </c>
      <c r="D4059" t="s">
        <v>6168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9957</v>
      </c>
      <c r="B4061">
        <v>22930</v>
      </c>
      <c r="C4061" t="s">
        <v>9958</v>
      </c>
      <c r="D4061" t="s">
        <v>6168</v>
      </c>
    </row>
    <row r="4062" spans="1:4">
      <c r="A4062" t="s">
        <v>9959</v>
      </c>
      <c r="B4062">
        <v>3777</v>
      </c>
      <c r="C4062" t="s">
        <v>9960</v>
      </c>
      <c r="D4062" t="s">
        <v>6168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17275</v>
      </c>
      <c r="B4064">
        <v>45357</v>
      </c>
      <c r="C4064" t="s">
        <v>17276</v>
      </c>
      <c r="D4064" t="s">
        <v>6168</v>
      </c>
    </row>
    <row r="4065" spans="1:4">
      <c r="A4065" t="s">
        <v>9961</v>
      </c>
      <c r="B4065">
        <v>29513</v>
      </c>
      <c r="C4065" t="s">
        <v>9962</v>
      </c>
      <c r="D4065" t="s">
        <v>6168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9963</v>
      </c>
      <c r="B4067">
        <v>36334</v>
      </c>
      <c r="C4067" t="s">
        <v>9964</v>
      </c>
      <c r="D4067" t="s">
        <v>6168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9965</v>
      </c>
      <c r="B4070">
        <v>23562</v>
      </c>
      <c r="C4070" t="s">
        <v>9966</v>
      </c>
      <c r="D4070" t="s">
        <v>6314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9967</v>
      </c>
      <c r="B4072">
        <v>26355</v>
      </c>
      <c r="C4072" t="s">
        <v>6649</v>
      </c>
      <c r="D4072" t="s">
        <v>6168</v>
      </c>
    </row>
    <row r="4073" spans="1:4">
      <c r="A4073" t="s">
        <v>17445</v>
      </c>
      <c r="B4073">
        <v>45736</v>
      </c>
      <c r="C4073" t="s">
        <v>5872</v>
      </c>
      <c r="D4073" t="s">
        <v>123</v>
      </c>
    </row>
    <row r="4074" spans="1:4">
      <c r="A4074" t="s">
        <v>17517</v>
      </c>
      <c r="B4074">
        <v>45938</v>
      </c>
      <c r="C4074" t="s">
        <v>6546</v>
      </c>
      <c r="D4074" t="s">
        <v>6168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9968</v>
      </c>
      <c r="B4076">
        <v>23718</v>
      </c>
      <c r="C4076" t="s">
        <v>6851</v>
      </c>
      <c r="D4076" t="s">
        <v>6168</v>
      </c>
    </row>
    <row r="4077" spans="1:4">
      <c r="A4077" t="s">
        <v>9969</v>
      </c>
      <c r="B4077">
        <v>24137</v>
      </c>
      <c r="C4077" t="s">
        <v>9970</v>
      </c>
      <c r="D4077" t="s">
        <v>6168</v>
      </c>
    </row>
    <row r="4078" spans="1:4">
      <c r="A4078" t="s">
        <v>9971</v>
      </c>
      <c r="B4078">
        <v>30248</v>
      </c>
      <c r="C4078" t="s">
        <v>8477</v>
      </c>
      <c r="D4078" t="s">
        <v>6168</v>
      </c>
    </row>
    <row r="4079" spans="1:4">
      <c r="A4079" t="s">
        <v>9972</v>
      </c>
      <c r="B4079">
        <v>39729</v>
      </c>
      <c r="C4079" t="s">
        <v>8290</v>
      </c>
      <c r="D4079" t="s">
        <v>6168</v>
      </c>
    </row>
    <row r="4080" spans="1:4">
      <c r="A4080" t="s">
        <v>9973</v>
      </c>
      <c r="B4080">
        <v>23719</v>
      </c>
      <c r="C4080" t="s">
        <v>9974</v>
      </c>
      <c r="D4080" t="s">
        <v>6168</v>
      </c>
    </row>
    <row r="4081" spans="1:4">
      <c r="A4081" t="s">
        <v>9975</v>
      </c>
      <c r="B4081">
        <v>34091</v>
      </c>
      <c r="C4081" t="s">
        <v>8290</v>
      </c>
      <c r="D4081" t="s">
        <v>6168</v>
      </c>
    </row>
    <row r="4082" spans="1:4">
      <c r="A4082" t="s">
        <v>9976</v>
      </c>
      <c r="B4082">
        <v>23720</v>
      </c>
      <c r="C4082" t="s">
        <v>636</v>
      </c>
      <c r="D4082" t="s">
        <v>6168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9977</v>
      </c>
      <c r="B4084">
        <v>22024</v>
      </c>
      <c r="C4084" t="s">
        <v>9978</v>
      </c>
      <c r="D4084" t="s">
        <v>6168</v>
      </c>
    </row>
    <row r="4085" spans="1:4">
      <c r="A4085" t="s">
        <v>9979</v>
      </c>
      <c r="B4085">
        <v>33977</v>
      </c>
      <c r="C4085" t="s">
        <v>9980</v>
      </c>
      <c r="D4085" t="s">
        <v>6267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9981</v>
      </c>
      <c r="B4087">
        <v>26354</v>
      </c>
      <c r="C4087" t="s">
        <v>9982</v>
      </c>
      <c r="D4087" t="s">
        <v>6168</v>
      </c>
    </row>
    <row r="4088" spans="1:4">
      <c r="A4088" t="s">
        <v>9983</v>
      </c>
      <c r="B4088">
        <v>26353</v>
      </c>
      <c r="C4088" t="s">
        <v>626</v>
      </c>
      <c r="D4088" t="s">
        <v>6168</v>
      </c>
    </row>
    <row r="4089" spans="1:4">
      <c r="A4089" t="s">
        <v>9984</v>
      </c>
      <c r="B4089">
        <v>31306</v>
      </c>
      <c r="C4089" t="s">
        <v>1301</v>
      </c>
      <c r="D4089" t="s">
        <v>6168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9985</v>
      </c>
      <c r="B4092">
        <v>3820</v>
      </c>
      <c r="C4092" t="s">
        <v>9986</v>
      </c>
      <c r="D4092" t="s">
        <v>6168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9987</v>
      </c>
      <c r="B4095">
        <v>30615</v>
      </c>
      <c r="C4095" t="s">
        <v>9988</v>
      </c>
      <c r="D4095" t="s">
        <v>6168</v>
      </c>
    </row>
    <row r="4096" spans="1:4">
      <c r="A4096" t="s">
        <v>9989</v>
      </c>
      <c r="B4096">
        <v>22932</v>
      </c>
      <c r="C4096" t="s">
        <v>9990</v>
      </c>
      <c r="D4096" t="s">
        <v>6230</v>
      </c>
    </row>
    <row r="4097" spans="1:4">
      <c r="A4097" t="s">
        <v>17104</v>
      </c>
      <c r="B4097">
        <v>44354</v>
      </c>
      <c r="C4097" t="s">
        <v>17105</v>
      </c>
      <c r="D4097" t="s">
        <v>123</v>
      </c>
    </row>
    <row r="4098" spans="1:4">
      <c r="A4098" t="s">
        <v>9991</v>
      </c>
      <c r="B4098">
        <v>4608</v>
      </c>
      <c r="D4098" t="s">
        <v>6241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9992</v>
      </c>
      <c r="B4100">
        <v>22026</v>
      </c>
      <c r="D4100" t="s">
        <v>6314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9993</v>
      </c>
      <c r="B4102">
        <v>22933</v>
      </c>
      <c r="C4102" t="s">
        <v>9994</v>
      </c>
      <c r="D4102" t="s">
        <v>6168</v>
      </c>
    </row>
    <row r="4103" spans="1:4">
      <c r="A4103" t="s">
        <v>9995</v>
      </c>
      <c r="B4103">
        <v>4478</v>
      </c>
      <c r="C4103" t="s">
        <v>9996</v>
      </c>
      <c r="D4103" t="s">
        <v>6168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9997</v>
      </c>
      <c r="B4105">
        <v>22028</v>
      </c>
      <c r="C4105" t="s">
        <v>6483</v>
      </c>
      <c r="D4105" t="s">
        <v>6168</v>
      </c>
    </row>
    <row r="4106" spans="1:4">
      <c r="A4106" t="s">
        <v>9998</v>
      </c>
      <c r="B4106">
        <v>22029</v>
      </c>
      <c r="C4106" t="s">
        <v>9999</v>
      </c>
      <c r="D4106" t="s">
        <v>6168</v>
      </c>
    </row>
    <row r="4107" spans="1:4">
      <c r="A4107" t="s">
        <v>10000</v>
      </c>
      <c r="B4107">
        <v>22030</v>
      </c>
      <c r="C4107" t="s">
        <v>10001</v>
      </c>
      <c r="D4107" t="s">
        <v>6168</v>
      </c>
    </row>
    <row r="4108" spans="1:4">
      <c r="A4108" t="s">
        <v>10002</v>
      </c>
      <c r="B4108">
        <v>22031</v>
      </c>
      <c r="C4108" t="s">
        <v>4950</v>
      </c>
      <c r="D4108" t="s">
        <v>6168</v>
      </c>
    </row>
    <row r="4109" spans="1:4">
      <c r="A4109" t="s">
        <v>10003</v>
      </c>
      <c r="B4109">
        <v>39606</v>
      </c>
      <c r="C4109" t="s">
        <v>10004</v>
      </c>
      <c r="D4109" t="s">
        <v>6267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10005</v>
      </c>
      <c r="B4111">
        <v>3641</v>
      </c>
      <c r="C4111" t="s">
        <v>4122</v>
      </c>
      <c r="D4111" t="s">
        <v>6168</v>
      </c>
    </row>
    <row r="4112" spans="1:4">
      <c r="A4112" t="s">
        <v>10006</v>
      </c>
      <c r="B4112">
        <v>3642</v>
      </c>
      <c r="C4112" t="s">
        <v>10007</v>
      </c>
      <c r="D4112" t="s">
        <v>6168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10008</v>
      </c>
      <c r="B4115">
        <v>24138</v>
      </c>
      <c r="C4115" t="s">
        <v>3226</v>
      </c>
      <c r="D4115" t="s">
        <v>6248</v>
      </c>
    </row>
    <row r="4116" spans="1:4">
      <c r="A4116" t="s">
        <v>17277</v>
      </c>
      <c r="B4116">
        <v>45358</v>
      </c>
      <c r="C4116" t="s">
        <v>17278</v>
      </c>
      <c r="D4116" t="s">
        <v>6168</v>
      </c>
    </row>
    <row r="4117" spans="1:4">
      <c r="A4117" t="s">
        <v>10009</v>
      </c>
      <c r="B4117">
        <v>24652</v>
      </c>
      <c r="C4117" t="s">
        <v>3226</v>
      </c>
      <c r="D4117" t="s">
        <v>6168</v>
      </c>
    </row>
    <row r="4118" spans="1:4">
      <c r="A4118" t="s">
        <v>10010</v>
      </c>
      <c r="B4118">
        <v>35736</v>
      </c>
      <c r="C4118" t="s">
        <v>10011</v>
      </c>
      <c r="D4118" t="s">
        <v>6168</v>
      </c>
    </row>
    <row r="4119" spans="1:4">
      <c r="A4119" t="s">
        <v>10012</v>
      </c>
      <c r="B4119">
        <v>35734</v>
      </c>
      <c r="C4119" t="s">
        <v>10013</v>
      </c>
      <c r="D4119" t="s">
        <v>6168</v>
      </c>
    </row>
    <row r="4120" spans="1:4">
      <c r="A4120" t="s">
        <v>10014</v>
      </c>
      <c r="B4120">
        <v>31826</v>
      </c>
      <c r="C4120" t="s">
        <v>10015</v>
      </c>
      <c r="D4120" t="s">
        <v>6168</v>
      </c>
    </row>
    <row r="4121" spans="1:4">
      <c r="A4121" t="s">
        <v>10016</v>
      </c>
      <c r="B4121">
        <v>39846</v>
      </c>
      <c r="C4121" t="s">
        <v>10017</v>
      </c>
      <c r="D4121" t="s">
        <v>6168</v>
      </c>
    </row>
    <row r="4122" spans="1:4">
      <c r="A4122" t="s">
        <v>10018</v>
      </c>
      <c r="B4122">
        <v>35737</v>
      </c>
      <c r="C4122" t="s">
        <v>10019</v>
      </c>
      <c r="D4122" t="s">
        <v>6168</v>
      </c>
    </row>
    <row r="4123" spans="1:4">
      <c r="A4123" t="s">
        <v>10020</v>
      </c>
      <c r="B4123">
        <v>42054</v>
      </c>
      <c r="C4123" t="s">
        <v>7645</v>
      </c>
      <c r="D4123" t="s">
        <v>6168</v>
      </c>
    </row>
    <row r="4124" spans="1:4">
      <c r="A4124" t="s">
        <v>10021</v>
      </c>
      <c r="B4124">
        <v>35735</v>
      </c>
      <c r="C4124" t="s">
        <v>10013</v>
      </c>
      <c r="D4124" t="s">
        <v>6168</v>
      </c>
    </row>
    <row r="4125" spans="1:4">
      <c r="A4125" t="s">
        <v>10022</v>
      </c>
      <c r="B4125">
        <v>24139</v>
      </c>
      <c r="C4125" t="s">
        <v>10015</v>
      </c>
      <c r="D4125" t="s">
        <v>6168</v>
      </c>
    </row>
    <row r="4126" spans="1:4">
      <c r="A4126" t="s">
        <v>10023</v>
      </c>
      <c r="B4126">
        <v>42055</v>
      </c>
      <c r="C4126" t="s">
        <v>10024</v>
      </c>
      <c r="D4126" t="s">
        <v>6168</v>
      </c>
    </row>
    <row r="4127" spans="1:4">
      <c r="A4127" t="s">
        <v>10025</v>
      </c>
      <c r="B4127">
        <v>30255</v>
      </c>
      <c r="C4127" t="s">
        <v>7065</v>
      </c>
      <c r="D4127" t="s">
        <v>6168</v>
      </c>
    </row>
    <row r="4128" spans="1:4">
      <c r="A4128" t="s">
        <v>10026</v>
      </c>
      <c r="B4128">
        <v>23591</v>
      </c>
      <c r="C4128" t="s">
        <v>1307</v>
      </c>
      <c r="D4128" t="s">
        <v>6267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10027</v>
      </c>
      <c r="B4131">
        <v>35655</v>
      </c>
      <c r="C4131" t="s">
        <v>10028</v>
      </c>
      <c r="D4131" t="s">
        <v>6168</v>
      </c>
    </row>
    <row r="4132" spans="1:4">
      <c r="A4132" t="s">
        <v>10029</v>
      </c>
      <c r="B4132">
        <v>39699</v>
      </c>
      <c r="C4132" t="s">
        <v>6535</v>
      </c>
      <c r="D4132" t="s">
        <v>6168</v>
      </c>
    </row>
    <row r="4133" spans="1:4">
      <c r="A4133" t="s">
        <v>10030</v>
      </c>
      <c r="B4133">
        <v>40528</v>
      </c>
      <c r="C4133" t="s">
        <v>10031</v>
      </c>
      <c r="D4133" t="s">
        <v>6449</v>
      </c>
    </row>
    <row r="4134" spans="1:4">
      <c r="A4134" t="s">
        <v>10032</v>
      </c>
      <c r="B4134">
        <v>30311</v>
      </c>
      <c r="C4134" t="s">
        <v>10033</v>
      </c>
      <c r="D4134" t="s">
        <v>6267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10034</v>
      </c>
      <c r="B4136">
        <v>42368</v>
      </c>
      <c r="C4136" t="s">
        <v>6558</v>
      </c>
      <c r="D4136" t="s">
        <v>6168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10035</v>
      </c>
      <c r="B4138">
        <v>33979</v>
      </c>
      <c r="C4138" t="s">
        <v>6394</v>
      </c>
      <c r="D4138" t="s">
        <v>6168</v>
      </c>
    </row>
    <row r="4139" spans="1:4">
      <c r="A4139" t="s">
        <v>10036</v>
      </c>
      <c r="B4139">
        <v>29604</v>
      </c>
      <c r="C4139" t="s">
        <v>10037</v>
      </c>
      <c r="D4139" t="s">
        <v>6168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10038</v>
      </c>
      <c r="B4142">
        <v>20487</v>
      </c>
      <c r="C4142" t="s">
        <v>6617</v>
      </c>
      <c r="D4142" t="s">
        <v>6168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10039</v>
      </c>
      <c r="B4145">
        <v>22033</v>
      </c>
      <c r="C4145" t="s">
        <v>4950</v>
      </c>
      <c r="D4145" t="s">
        <v>6168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10040</v>
      </c>
      <c r="B4147">
        <v>22035</v>
      </c>
      <c r="C4147" t="s">
        <v>10041</v>
      </c>
      <c r="D4147" t="s">
        <v>6267</v>
      </c>
    </row>
    <row r="4148" spans="1:4">
      <c r="A4148" t="s">
        <v>10042</v>
      </c>
      <c r="B4148">
        <v>33967</v>
      </c>
      <c r="D4148" t="s">
        <v>6292</v>
      </c>
    </row>
    <row r="4149" spans="1:4">
      <c r="A4149" t="s">
        <v>17279</v>
      </c>
      <c r="B4149">
        <v>45359</v>
      </c>
      <c r="C4149" t="s">
        <v>17280</v>
      </c>
      <c r="D4149" t="s">
        <v>134</v>
      </c>
    </row>
    <row r="4150" spans="1:4">
      <c r="A4150" t="s">
        <v>17392</v>
      </c>
      <c r="B4150">
        <v>45485</v>
      </c>
      <c r="C4150" t="s">
        <v>17393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10043</v>
      </c>
      <c r="B4152">
        <v>31811</v>
      </c>
      <c r="C4152" t="s">
        <v>10044</v>
      </c>
      <c r="D4152" t="s">
        <v>6168</v>
      </c>
    </row>
    <row r="4153" spans="1:4">
      <c r="A4153" t="s">
        <v>10045</v>
      </c>
      <c r="B4153">
        <v>31102</v>
      </c>
      <c r="C4153" t="s">
        <v>10046</v>
      </c>
      <c r="D4153" t="s">
        <v>6168</v>
      </c>
    </row>
    <row r="4154" spans="1:4">
      <c r="A4154" t="s">
        <v>10047</v>
      </c>
      <c r="B4154">
        <v>22037</v>
      </c>
      <c r="C4154" t="s">
        <v>10046</v>
      </c>
      <c r="D4154" t="s">
        <v>6168</v>
      </c>
    </row>
    <row r="4155" spans="1:4">
      <c r="A4155" t="s">
        <v>10048</v>
      </c>
      <c r="B4155">
        <v>22038</v>
      </c>
      <c r="C4155" t="s">
        <v>10049</v>
      </c>
      <c r="D4155" t="s">
        <v>6168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10050</v>
      </c>
      <c r="B4157">
        <v>35991</v>
      </c>
      <c r="C4157" t="s">
        <v>8939</v>
      </c>
      <c r="D4157" t="s">
        <v>6168</v>
      </c>
    </row>
    <row r="4158" spans="1:4">
      <c r="A4158" t="s">
        <v>10051</v>
      </c>
      <c r="B4158">
        <v>35992</v>
      </c>
      <c r="C4158" t="s">
        <v>5857</v>
      </c>
      <c r="D4158" t="s">
        <v>6168</v>
      </c>
    </row>
    <row r="4159" spans="1:4">
      <c r="A4159" t="s">
        <v>10052</v>
      </c>
      <c r="B4159">
        <v>35993</v>
      </c>
      <c r="C4159" t="s">
        <v>10053</v>
      </c>
      <c r="D4159" t="s">
        <v>6168</v>
      </c>
    </row>
    <row r="4160" spans="1:4">
      <c r="A4160" t="s">
        <v>10054</v>
      </c>
      <c r="B4160">
        <v>35994</v>
      </c>
      <c r="C4160" t="s">
        <v>6214</v>
      </c>
      <c r="D4160" t="s">
        <v>6168</v>
      </c>
    </row>
    <row r="4161" spans="1:4">
      <c r="A4161" t="s">
        <v>10055</v>
      </c>
      <c r="B4161">
        <v>35995</v>
      </c>
      <c r="C4161" t="s">
        <v>9214</v>
      </c>
      <c r="D4161" t="s">
        <v>6168</v>
      </c>
    </row>
    <row r="4162" spans="1:4">
      <c r="A4162" t="s">
        <v>10056</v>
      </c>
      <c r="B4162">
        <v>35996</v>
      </c>
      <c r="C4162" t="s">
        <v>9207</v>
      </c>
      <c r="D4162" t="s">
        <v>6168</v>
      </c>
    </row>
    <row r="4163" spans="1:4">
      <c r="A4163" t="s">
        <v>10057</v>
      </c>
      <c r="B4163">
        <v>35997</v>
      </c>
      <c r="C4163" t="s">
        <v>6214</v>
      </c>
      <c r="D4163" t="s">
        <v>6168</v>
      </c>
    </row>
    <row r="4164" spans="1:4">
      <c r="A4164" t="s">
        <v>10058</v>
      </c>
      <c r="B4164">
        <v>35998</v>
      </c>
      <c r="C4164" t="s">
        <v>6214</v>
      </c>
      <c r="D4164" t="s">
        <v>6168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10059</v>
      </c>
      <c r="B4166">
        <v>39800</v>
      </c>
      <c r="C4166" t="s">
        <v>5367</v>
      </c>
      <c r="D4166" t="s">
        <v>6267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16944</v>
      </c>
      <c r="B4168">
        <v>44012</v>
      </c>
      <c r="C4168" t="s">
        <v>6601</v>
      </c>
      <c r="D4168" t="s">
        <v>6168</v>
      </c>
    </row>
    <row r="4169" spans="1:4">
      <c r="A4169" t="s">
        <v>16857</v>
      </c>
      <c r="B4169">
        <v>43907</v>
      </c>
      <c r="C4169" t="s">
        <v>16858</v>
      </c>
      <c r="D4169" t="s">
        <v>6168</v>
      </c>
    </row>
    <row r="4170" spans="1:4">
      <c r="A4170" t="s">
        <v>10060</v>
      </c>
      <c r="B4170">
        <v>41168</v>
      </c>
      <c r="C4170" t="s">
        <v>6216</v>
      </c>
      <c r="D4170" t="s">
        <v>6168</v>
      </c>
    </row>
    <row r="4171" spans="1:4">
      <c r="A4171" t="s">
        <v>10061</v>
      </c>
      <c r="B4171">
        <v>36051</v>
      </c>
      <c r="C4171" t="s">
        <v>6214</v>
      </c>
      <c r="D4171" t="s">
        <v>6168</v>
      </c>
    </row>
    <row r="4172" spans="1:4">
      <c r="A4172" t="s">
        <v>10062</v>
      </c>
      <c r="B4172">
        <v>41169</v>
      </c>
      <c r="C4172" t="s">
        <v>6216</v>
      </c>
      <c r="D4172" t="s">
        <v>6168</v>
      </c>
    </row>
    <row r="4173" spans="1:4">
      <c r="A4173" t="s">
        <v>10063</v>
      </c>
      <c r="B4173">
        <v>41170</v>
      </c>
      <c r="C4173" t="s">
        <v>10064</v>
      </c>
      <c r="D4173" t="s">
        <v>6168</v>
      </c>
    </row>
    <row r="4174" spans="1:4">
      <c r="A4174" t="s">
        <v>10065</v>
      </c>
      <c r="B4174">
        <v>36052</v>
      </c>
      <c r="C4174" t="s">
        <v>6694</v>
      </c>
      <c r="D4174" t="s">
        <v>6168</v>
      </c>
    </row>
    <row r="4175" spans="1:4">
      <c r="A4175" t="s">
        <v>10066</v>
      </c>
      <c r="B4175">
        <v>39801</v>
      </c>
      <c r="C4175" t="s">
        <v>10053</v>
      </c>
      <c r="D4175" t="s">
        <v>6168</v>
      </c>
    </row>
    <row r="4176" spans="1:4">
      <c r="A4176" t="s">
        <v>10067</v>
      </c>
      <c r="B4176">
        <v>41171</v>
      </c>
      <c r="C4176" t="s">
        <v>9205</v>
      </c>
      <c r="D4176" t="s">
        <v>6168</v>
      </c>
    </row>
    <row r="4177" spans="1:4">
      <c r="A4177" t="s">
        <v>10068</v>
      </c>
      <c r="B4177">
        <v>42761</v>
      </c>
      <c r="C4177" t="s">
        <v>9205</v>
      </c>
      <c r="D4177" t="s">
        <v>6168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10069</v>
      </c>
      <c r="B4179">
        <v>42178</v>
      </c>
      <c r="C4179" t="s">
        <v>10070</v>
      </c>
      <c r="D4179" t="s">
        <v>6168</v>
      </c>
    </row>
    <row r="4180" spans="1:4">
      <c r="A4180" t="s">
        <v>10071</v>
      </c>
      <c r="B4180">
        <v>42179</v>
      </c>
      <c r="C4180" t="s">
        <v>10072</v>
      </c>
      <c r="D4180" t="s">
        <v>6168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10073</v>
      </c>
      <c r="B4182">
        <v>42180</v>
      </c>
      <c r="C4182" t="s">
        <v>7087</v>
      </c>
      <c r="D4182" t="s">
        <v>6168</v>
      </c>
    </row>
    <row r="4183" spans="1:4">
      <c r="A4183" t="s">
        <v>10074</v>
      </c>
      <c r="B4183">
        <v>42181</v>
      </c>
      <c r="C4183" t="s">
        <v>10075</v>
      </c>
      <c r="D4183" t="s">
        <v>6168</v>
      </c>
    </row>
    <row r="4184" spans="1:4">
      <c r="A4184" t="s">
        <v>10076</v>
      </c>
      <c r="B4184">
        <v>43465</v>
      </c>
      <c r="C4184" t="s">
        <v>624</v>
      </c>
      <c r="D4184" t="s">
        <v>123</v>
      </c>
    </row>
    <row r="4185" spans="1:4">
      <c r="A4185" t="s">
        <v>16859</v>
      </c>
      <c r="B4185">
        <v>43908</v>
      </c>
      <c r="C4185" t="s">
        <v>624</v>
      </c>
      <c r="D4185" t="s">
        <v>6168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10077</v>
      </c>
      <c r="B4187">
        <v>19290</v>
      </c>
      <c r="D4187" t="s">
        <v>6168</v>
      </c>
    </row>
    <row r="4188" spans="1:4">
      <c r="A4188" t="s">
        <v>10078</v>
      </c>
      <c r="B4188">
        <v>31738</v>
      </c>
      <c r="D4188" t="s">
        <v>6168</v>
      </c>
    </row>
    <row r="4189" spans="1:4">
      <c r="A4189" t="s">
        <v>10079</v>
      </c>
      <c r="B4189">
        <v>32515</v>
      </c>
      <c r="C4189" t="s">
        <v>10080</v>
      </c>
      <c r="D4189" t="s">
        <v>6168</v>
      </c>
    </row>
    <row r="4190" spans="1:4">
      <c r="A4190" t="s">
        <v>10081</v>
      </c>
      <c r="B4190">
        <v>1031</v>
      </c>
      <c r="C4190" t="s">
        <v>10082</v>
      </c>
      <c r="D4190" t="s">
        <v>6168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10083</v>
      </c>
      <c r="B4194">
        <v>22040</v>
      </c>
      <c r="C4194" t="s">
        <v>10084</v>
      </c>
      <c r="D4194" t="s">
        <v>6314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10085</v>
      </c>
      <c r="B4196">
        <v>23724</v>
      </c>
      <c r="C4196" t="s">
        <v>10086</v>
      </c>
      <c r="D4196" t="s">
        <v>6168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10087</v>
      </c>
      <c r="B4198">
        <v>22042</v>
      </c>
      <c r="C4198" t="s">
        <v>823</v>
      </c>
      <c r="D4198" t="s">
        <v>6168</v>
      </c>
    </row>
    <row r="4199" spans="1:4">
      <c r="A4199" t="s">
        <v>10088</v>
      </c>
      <c r="B4199">
        <v>30047</v>
      </c>
      <c r="C4199" t="s">
        <v>1273</v>
      </c>
      <c r="D4199" t="s">
        <v>6168</v>
      </c>
    </row>
    <row r="4200" spans="1:4">
      <c r="A4200" t="s">
        <v>10089</v>
      </c>
      <c r="B4200">
        <v>22043</v>
      </c>
      <c r="C4200" t="s">
        <v>10090</v>
      </c>
      <c r="D4200" t="s">
        <v>6168</v>
      </c>
    </row>
    <row r="4201" spans="1:4">
      <c r="A4201" t="s">
        <v>10091</v>
      </c>
      <c r="B4201">
        <v>22044</v>
      </c>
      <c r="D4201" t="s">
        <v>6243</v>
      </c>
    </row>
    <row r="4202" spans="1:4">
      <c r="A4202" t="s">
        <v>10092</v>
      </c>
      <c r="B4202">
        <v>23278</v>
      </c>
      <c r="C4202" t="s">
        <v>10093</v>
      </c>
      <c r="D4202" t="s">
        <v>6230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10094</v>
      </c>
      <c r="B4205">
        <v>42182</v>
      </c>
      <c r="C4205" t="s">
        <v>3120</v>
      </c>
      <c r="D4205" t="s">
        <v>6168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10095</v>
      </c>
      <c r="B4207">
        <v>25320</v>
      </c>
      <c r="C4207" t="s">
        <v>10096</v>
      </c>
      <c r="D4207" t="s">
        <v>6168</v>
      </c>
    </row>
    <row r="4208" spans="1:4">
      <c r="A4208" t="s">
        <v>10097</v>
      </c>
      <c r="B4208">
        <v>25321</v>
      </c>
      <c r="C4208" t="s">
        <v>10098</v>
      </c>
      <c r="D4208" t="s">
        <v>6168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10099</v>
      </c>
      <c r="B4210">
        <v>22046</v>
      </c>
      <c r="C4210" t="s">
        <v>10100</v>
      </c>
      <c r="D4210" t="s">
        <v>6168</v>
      </c>
    </row>
    <row r="4211" spans="1:4">
      <c r="A4211" t="s">
        <v>10101</v>
      </c>
      <c r="B4211">
        <v>43604</v>
      </c>
      <c r="C4211" t="s">
        <v>2494</v>
      </c>
      <c r="D4211" t="s">
        <v>134</v>
      </c>
    </row>
    <row r="4212" spans="1:4">
      <c r="A4212" t="s">
        <v>10102</v>
      </c>
      <c r="B4212">
        <v>39818</v>
      </c>
      <c r="C4212" t="s">
        <v>2494</v>
      </c>
      <c r="D4212" t="s">
        <v>6314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10103</v>
      </c>
      <c r="B4214">
        <v>22048</v>
      </c>
      <c r="C4214" t="s">
        <v>6558</v>
      </c>
      <c r="D4214" t="s">
        <v>6168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10104</v>
      </c>
      <c r="B4216">
        <v>22050</v>
      </c>
      <c r="C4216" t="s">
        <v>3016</v>
      </c>
      <c r="D4216" t="s">
        <v>6267</v>
      </c>
    </row>
    <row r="4217" spans="1:4">
      <c r="A4217" t="s">
        <v>10105</v>
      </c>
      <c r="B4217">
        <v>22051</v>
      </c>
      <c r="C4217" t="s">
        <v>3016</v>
      </c>
      <c r="D4217" t="s">
        <v>6314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10106</v>
      </c>
      <c r="B4220">
        <v>4321</v>
      </c>
      <c r="C4220" t="s">
        <v>5440</v>
      </c>
      <c r="D4220" t="s">
        <v>6230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10107</v>
      </c>
      <c r="B4222">
        <v>24653</v>
      </c>
      <c r="C4222" t="s">
        <v>10108</v>
      </c>
      <c r="D4222" t="s">
        <v>6168</v>
      </c>
    </row>
    <row r="4223" spans="1:4">
      <c r="A4223" t="s">
        <v>10109</v>
      </c>
      <c r="B4223">
        <v>23246</v>
      </c>
      <c r="C4223" t="s">
        <v>1372</v>
      </c>
      <c r="D4223" t="s">
        <v>6292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10110</v>
      </c>
      <c r="B4226">
        <v>30801</v>
      </c>
      <c r="C4226" t="s">
        <v>10111</v>
      </c>
      <c r="D4226" t="s">
        <v>6168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10112</v>
      </c>
      <c r="B4228">
        <v>39819</v>
      </c>
      <c r="C4228" t="s">
        <v>1296</v>
      </c>
      <c r="D4228" t="s">
        <v>6314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10113</v>
      </c>
      <c r="B4230">
        <v>22896</v>
      </c>
      <c r="C4230" t="s">
        <v>8360</v>
      </c>
      <c r="D4230" t="s">
        <v>6168</v>
      </c>
    </row>
    <row r="4231" spans="1:4">
      <c r="A4231" t="s">
        <v>10114</v>
      </c>
      <c r="B4231">
        <v>35339</v>
      </c>
      <c r="C4231" t="s">
        <v>7271</v>
      </c>
      <c r="D4231" t="s">
        <v>6168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10115</v>
      </c>
      <c r="B4234">
        <v>29872</v>
      </c>
      <c r="C4234" t="s">
        <v>4950</v>
      </c>
      <c r="D4234" t="s">
        <v>6168</v>
      </c>
    </row>
    <row r="4235" spans="1:4">
      <c r="A4235" t="s">
        <v>17518</v>
      </c>
      <c r="B4235">
        <v>45939</v>
      </c>
      <c r="C4235" t="s">
        <v>17447</v>
      </c>
      <c r="D4235" t="s">
        <v>123</v>
      </c>
    </row>
    <row r="4236" spans="1:4">
      <c r="A4236" t="s">
        <v>17548</v>
      </c>
      <c r="B4236">
        <v>45981</v>
      </c>
      <c r="C4236" t="s">
        <v>17549</v>
      </c>
      <c r="D4236" t="s">
        <v>6168</v>
      </c>
    </row>
    <row r="4237" spans="1:4">
      <c r="A4237" t="s">
        <v>17446</v>
      </c>
      <c r="B4237">
        <v>45737</v>
      </c>
      <c r="C4237" t="s">
        <v>17447</v>
      </c>
      <c r="D4237" t="s">
        <v>134</v>
      </c>
    </row>
    <row r="4238" spans="1:4">
      <c r="A4238" t="s">
        <v>17281</v>
      </c>
      <c r="B4238">
        <v>45360</v>
      </c>
      <c r="D4238" t="s">
        <v>6230</v>
      </c>
    </row>
    <row r="4239" spans="1:4">
      <c r="A4239" t="s">
        <v>17394</v>
      </c>
      <c r="B4239">
        <v>45486</v>
      </c>
      <c r="D4239" t="s">
        <v>6314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10116</v>
      </c>
      <c r="B4241">
        <v>29196</v>
      </c>
      <c r="C4241" t="s">
        <v>4424</v>
      </c>
      <c r="D4241" t="s">
        <v>6292</v>
      </c>
    </row>
    <row r="4242" spans="1:4">
      <c r="A4242" t="s">
        <v>10117</v>
      </c>
      <c r="B4242">
        <v>29591</v>
      </c>
      <c r="C4242" t="s">
        <v>2369</v>
      </c>
      <c r="D4242" t="s">
        <v>6314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10118</v>
      </c>
      <c r="B4244">
        <v>40527</v>
      </c>
      <c r="C4244" t="s">
        <v>10119</v>
      </c>
      <c r="D4244" t="s">
        <v>6168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10120</v>
      </c>
      <c r="B4246">
        <v>41721</v>
      </c>
      <c r="C4246" t="s">
        <v>10121</v>
      </c>
      <c r="D4246" t="s">
        <v>6267</v>
      </c>
    </row>
    <row r="4247" spans="1:4">
      <c r="A4247" t="s">
        <v>10122</v>
      </c>
      <c r="B4247">
        <v>20455</v>
      </c>
      <c r="C4247" t="s">
        <v>10121</v>
      </c>
      <c r="D4247" t="s">
        <v>6267</v>
      </c>
    </row>
    <row r="4248" spans="1:4">
      <c r="A4248" t="s">
        <v>10123</v>
      </c>
      <c r="B4248">
        <v>39636</v>
      </c>
      <c r="C4248" t="s">
        <v>10124</v>
      </c>
      <c r="D4248" t="s">
        <v>6243</v>
      </c>
    </row>
    <row r="4249" spans="1:4">
      <c r="A4249" t="s">
        <v>10125</v>
      </c>
      <c r="B4249">
        <v>23363</v>
      </c>
      <c r="C4249" t="s">
        <v>10126</v>
      </c>
      <c r="D4249" t="s">
        <v>6245</v>
      </c>
    </row>
    <row r="4250" spans="1:4">
      <c r="A4250" t="s">
        <v>10127</v>
      </c>
      <c r="B4250">
        <v>22052</v>
      </c>
      <c r="C4250" t="s">
        <v>4296</v>
      </c>
      <c r="D4250" t="s">
        <v>6267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10128</v>
      </c>
      <c r="B4252">
        <v>3096</v>
      </c>
      <c r="C4252" t="s">
        <v>10129</v>
      </c>
      <c r="D4252" t="s">
        <v>6168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10130</v>
      </c>
      <c r="B4255">
        <v>20594</v>
      </c>
      <c r="C4255" t="s">
        <v>6170</v>
      </c>
      <c r="D4255" t="s">
        <v>6168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10131</v>
      </c>
      <c r="B4257">
        <v>29514</v>
      </c>
      <c r="C4257" t="s">
        <v>10132</v>
      </c>
      <c r="D4257" t="s">
        <v>6168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10133</v>
      </c>
      <c r="B4259">
        <v>43466</v>
      </c>
      <c r="C4259" t="s">
        <v>6330</v>
      </c>
      <c r="D4259" t="s">
        <v>6168</v>
      </c>
    </row>
    <row r="4260" spans="1:4">
      <c r="A4260" t="s">
        <v>17064</v>
      </c>
      <c r="B4260">
        <v>44321</v>
      </c>
      <c r="C4260" t="s">
        <v>17065</v>
      </c>
      <c r="D4260" t="s">
        <v>6168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10134</v>
      </c>
      <c r="B4262">
        <v>22054</v>
      </c>
      <c r="C4262" t="s">
        <v>10135</v>
      </c>
      <c r="D4262" t="s">
        <v>6168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10136</v>
      </c>
      <c r="B4264">
        <v>35623</v>
      </c>
      <c r="C4264" t="s">
        <v>10137</v>
      </c>
      <c r="D4264" t="s">
        <v>6168</v>
      </c>
    </row>
    <row r="4265" spans="1:4">
      <c r="A4265" t="s">
        <v>17282</v>
      </c>
      <c r="B4265">
        <v>45361</v>
      </c>
      <c r="C4265" t="s">
        <v>4950</v>
      </c>
      <c r="D4265" t="s">
        <v>6168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10138</v>
      </c>
      <c r="B4267">
        <v>41173</v>
      </c>
      <c r="C4267" t="s">
        <v>4950</v>
      </c>
      <c r="D4267" t="s">
        <v>6168</v>
      </c>
    </row>
    <row r="4268" spans="1:4">
      <c r="A4268" t="s">
        <v>10139</v>
      </c>
      <c r="B4268">
        <v>36057</v>
      </c>
      <c r="C4268" t="s">
        <v>1189</v>
      </c>
      <c r="D4268" t="s">
        <v>6168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10140</v>
      </c>
      <c r="B4271">
        <v>36058</v>
      </c>
      <c r="C4271" t="s">
        <v>6546</v>
      </c>
      <c r="D4271" t="s">
        <v>6168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10141</v>
      </c>
      <c r="B4273">
        <v>22055</v>
      </c>
      <c r="D4273" t="s">
        <v>6230</v>
      </c>
    </row>
    <row r="4274" spans="1:4">
      <c r="A4274" t="s">
        <v>10142</v>
      </c>
      <c r="B4274">
        <v>22056</v>
      </c>
      <c r="C4274" t="s">
        <v>10143</v>
      </c>
      <c r="D4274" t="s">
        <v>6267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10144</v>
      </c>
      <c r="B4276">
        <v>22058</v>
      </c>
      <c r="C4276" t="s">
        <v>6558</v>
      </c>
      <c r="D4276" t="s">
        <v>6168</v>
      </c>
    </row>
    <row r="4277" spans="1:4">
      <c r="A4277" t="s">
        <v>10145</v>
      </c>
      <c r="B4277">
        <v>22059</v>
      </c>
      <c r="C4277" t="s">
        <v>10146</v>
      </c>
      <c r="D4277" t="s">
        <v>6168</v>
      </c>
    </row>
    <row r="4278" spans="1:4">
      <c r="A4278" t="s">
        <v>10147</v>
      </c>
      <c r="B4278">
        <v>22060</v>
      </c>
      <c r="C4278" t="s">
        <v>10148</v>
      </c>
      <c r="D4278" t="s">
        <v>6168</v>
      </c>
    </row>
    <row r="4279" spans="1:4">
      <c r="A4279" t="s">
        <v>10149</v>
      </c>
      <c r="B4279">
        <v>31084</v>
      </c>
      <c r="C4279" t="s">
        <v>9974</v>
      </c>
      <c r="D4279" t="s">
        <v>6168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10150</v>
      </c>
      <c r="B4281">
        <v>22062</v>
      </c>
      <c r="C4281" t="s">
        <v>10151</v>
      </c>
      <c r="D4281" t="s">
        <v>6168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10152</v>
      </c>
      <c r="B4283">
        <v>30779</v>
      </c>
      <c r="C4283" t="s">
        <v>10153</v>
      </c>
      <c r="D4283" t="s">
        <v>6168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10154</v>
      </c>
      <c r="B4286">
        <v>22064</v>
      </c>
      <c r="C4286" t="s">
        <v>8717</v>
      </c>
      <c r="D4286" t="s">
        <v>6449</v>
      </c>
    </row>
    <row r="4287" spans="1:4">
      <c r="A4287" t="s">
        <v>10155</v>
      </c>
      <c r="B4287">
        <v>24657</v>
      </c>
      <c r="C4287" t="s">
        <v>10156</v>
      </c>
      <c r="D4287" t="s">
        <v>6245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10157</v>
      </c>
      <c r="B4289">
        <v>39471</v>
      </c>
      <c r="D4289" t="s">
        <v>6230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10158</v>
      </c>
      <c r="B4291">
        <v>3679</v>
      </c>
      <c r="C4291" t="s">
        <v>10159</v>
      </c>
      <c r="D4291" t="s">
        <v>6168</v>
      </c>
    </row>
    <row r="4292" spans="1:4">
      <c r="A4292" t="s">
        <v>17144</v>
      </c>
      <c r="B4292">
        <v>44444</v>
      </c>
      <c r="C4292" t="s">
        <v>823</v>
      </c>
      <c r="D4292" t="s">
        <v>123</v>
      </c>
    </row>
    <row r="4293" spans="1:4">
      <c r="A4293" t="s">
        <v>17183</v>
      </c>
      <c r="B4293">
        <v>44505</v>
      </c>
      <c r="C4293" t="s">
        <v>4950</v>
      </c>
      <c r="D4293" t="s">
        <v>6168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10160</v>
      </c>
      <c r="B4297">
        <v>3917</v>
      </c>
      <c r="C4297" t="s">
        <v>10161</v>
      </c>
      <c r="D4297" t="s">
        <v>6168</v>
      </c>
    </row>
    <row r="4298" spans="1:4">
      <c r="A4298" t="s">
        <v>10162</v>
      </c>
      <c r="B4298">
        <v>3918</v>
      </c>
      <c r="C4298" t="s">
        <v>7716</v>
      </c>
      <c r="D4298" t="s">
        <v>6168</v>
      </c>
    </row>
    <row r="4299" spans="1:4">
      <c r="A4299" t="s">
        <v>10163</v>
      </c>
      <c r="B4299">
        <v>3909</v>
      </c>
      <c r="C4299" t="s">
        <v>154</v>
      </c>
      <c r="D4299" t="s">
        <v>6168</v>
      </c>
    </row>
    <row r="4300" spans="1:4">
      <c r="A4300" t="s">
        <v>10164</v>
      </c>
      <c r="B4300">
        <v>3914</v>
      </c>
      <c r="C4300" t="s">
        <v>10165</v>
      </c>
      <c r="D4300" t="s">
        <v>6168</v>
      </c>
    </row>
    <row r="4301" spans="1:4">
      <c r="A4301" t="s">
        <v>10166</v>
      </c>
      <c r="B4301">
        <v>3910</v>
      </c>
      <c r="C4301" t="s">
        <v>10167</v>
      </c>
      <c r="D4301" t="s">
        <v>6168</v>
      </c>
    </row>
    <row r="4302" spans="1:4">
      <c r="A4302" t="s">
        <v>10168</v>
      </c>
      <c r="B4302">
        <v>3915</v>
      </c>
      <c r="C4302" t="s">
        <v>10169</v>
      </c>
      <c r="D4302" t="s">
        <v>6168</v>
      </c>
    </row>
    <row r="4303" spans="1:4">
      <c r="A4303" t="s">
        <v>10170</v>
      </c>
      <c r="B4303">
        <v>3916</v>
      </c>
      <c r="C4303" t="s">
        <v>10171</v>
      </c>
      <c r="D4303" t="s">
        <v>6168</v>
      </c>
    </row>
    <row r="4304" spans="1:4">
      <c r="A4304" t="s">
        <v>10172</v>
      </c>
      <c r="B4304">
        <v>3913</v>
      </c>
      <c r="C4304" t="s">
        <v>10173</v>
      </c>
      <c r="D4304" t="s">
        <v>6168</v>
      </c>
    </row>
    <row r="4305" spans="1:4">
      <c r="A4305" t="s">
        <v>10174</v>
      </c>
      <c r="B4305">
        <v>3911</v>
      </c>
      <c r="C4305" t="s">
        <v>148</v>
      </c>
      <c r="D4305" t="s">
        <v>6168</v>
      </c>
    </row>
    <row r="4306" spans="1:4">
      <c r="A4306" t="s">
        <v>10175</v>
      </c>
      <c r="B4306">
        <v>3912</v>
      </c>
      <c r="C4306" t="s">
        <v>6533</v>
      </c>
      <c r="D4306" t="s">
        <v>6168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10176</v>
      </c>
      <c r="B4308">
        <v>23331</v>
      </c>
      <c r="C4308" t="s">
        <v>630</v>
      </c>
      <c r="D4308" t="s">
        <v>6314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17145</v>
      </c>
      <c r="B4310">
        <v>44445</v>
      </c>
      <c r="C4310" t="s">
        <v>2666</v>
      </c>
      <c r="D4310" t="s">
        <v>6168</v>
      </c>
    </row>
    <row r="4311" spans="1:4">
      <c r="A4311" t="s">
        <v>10177</v>
      </c>
      <c r="B4311">
        <v>25032</v>
      </c>
      <c r="C4311" t="s">
        <v>10178</v>
      </c>
      <c r="D4311" t="s">
        <v>6168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10179</v>
      </c>
      <c r="B4313">
        <v>36059</v>
      </c>
      <c r="C4313" t="s">
        <v>6330</v>
      </c>
      <c r="D4313" t="s">
        <v>6168</v>
      </c>
    </row>
    <row r="4314" spans="1:4">
      <c r="A4314" t="s">
        <v>10180</v>
      </c>
      <c r="B4314">
        <v>36060</v>
      </c>
      <c r="C4314" t="s">
        <v>4950</v>
      </c>
      <c r="D4314" t="s">
        <v>6168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10181</v>
      </c>
      <c r="B4316">
        <v>3034</v>
      </c>
      <c r="D4316" t="s">
        <v>6168</v>
      </c>
    </row>
    <row r="4317" spans="1:4">
      <c r="A4317" t="s">
        <v>10182</v>
      </c>
      <c r="B4317">
        <v>3035</v>
      </c>
      <c r="C4317" t="s">
        <v>10183</v>
      </c>
      <c r="D4317" t="s">
        <v>6168</v>
      </c>
    </row>
    <row r="4318" spans="1:4">
      <c r="A4318" t="s">
        <v>10184</v>
      </c>
      <c r="B4318">
        <v>1003</v>
      </c>
      <c r="C4318" t="s">
        <v>9020</v>
      </c>
      <c r="D4318" t="s">
        <v>6168</v>
      </c>
    </row>
    <row r="4319" spans="1:4">
      <c r="A4319" t="s">
        <v>10185</v>
      </c>
      <c r="B4319">
        <v>1002</v>
      </c>
      <c r="C4319" t="s">
        <v>6535</v>
      </c>
      <c r="D4319" t="s">
        <v>6168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10186</v>
      </c>
      <c r="B4321">
        <v>4132</v>
      </c>
      <c r="C4321" t="s">
        <v>4950</v>
      </c>
      <c r="D4321" t="s">
        <v>6168</v>
      </c>
    </row>
    <row r="4322" spans="1:4">
      <c r="A4322" t="s">
        <v>10187</v>
      </c>
      <c r="B4322">
        <v>4131</v>
      </c>
      <c r="C4322" t="s">
        <v>10188</v>
      </c>
      <c r="D4322" t="s">
        <v>6168</v>
      </c>
    </row>
    <row r="4323" spans="1:4">
      <c r="A4323" t="s">
        <v>10189</v>
      </c>
      <c r="B4323">
        <v>22065</v>
      </c>
      <c r="C4323" t="s">
        <v>467</v>
      </c>
      <c r="D4323" t="s">
        <v>6314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10190</v>
      </c>
      <c r="B4325">
        <v>43467</v>
      </c>
      <c r="C4325" t="s">
        <v>10191</v>
      </c>
      <c r="D4325" t="s">
        <v>6168</v>
      </c>
    </row>
    <row r="4326" spans="1:4">
      <c r="A4326" t="s">
        <v>10192</v>
      </c>
      <c r="B4326">
        <v>31762</v>
      </c>
      <c r="C4326" t="s">
        <v>10193</v>
      </c>
      <c r="D4326" t="s">
        <v>6168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10194</v>
      </c>
      <c r="B4328">
        <v>24145</v>
      </c>
      <c r="C4328" t="s">
        <v>148</v>
      </c>
      <c r="D4328" t="s">
        <v>6168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10195</v>
      </c>
      <c r="B4331">
        <v>35578</v>
      </c>
      <c r="C4331" t="s">
        <v>10196</v>
      </c>
      <c r="D4331" t="s">
        <v>6168</v>
      </c>
    </row>
    <row r="4332" spans="1:4">
      <c r="A4332" t="s">
        <v>10197</v>
      </c>
      <c r="B4332">
        <v>4294</v>
      </c>
      <c r="C4332" t="s">
        <v>10198</v>
      </c>
      <c r="D4332" t="s">
        <v>6168</v>
      </c>
    </row>
    <row r="4333" spans="1:4">
      <c r="A4333" t="s">
        <v>10199</v>
      </c>
      <c r="B4333">
        <v>31185</v>
      </c>
      <c r="C4333" t="s">
        <v>444</v>
      </c>
      <c r="D4333" t="s">
        <v>6292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10200</v>
      </c>
      <c r="B4335">
        <v>4072</v>
      </c>
      <c r="C4335" t="s">
        <v>444</v>
      </c>
      <c r="D4335" t="s">
        <v>6230</v>
      </c>
    </row>
    <row r="4336" spans="1:4">
      <c r="A4336" t="s">
        <v>10201</v>
      </c>
      <c r="B4336">
        <v>36436</v>
      </c>
      <c r="C4336" t="s">
        <v>444</v>
      </c>
      <c r="D4336" t="s">
        <v>8049</v>
      </c>
    </row>
    <row r="4337" spans="1:4">
      <c r="A4337" t="s">
        <v>10202</v>
      </c>
      <c r="B4337">
        <v>23156</v>
      </c>
      <c r="D4337" t="s">
        <v>6314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10203</v>
      </c>
      <c r="B4339">
        <v>35075</v>
      </c>
      <c r="C4339" t="s">
        <v>10204</v>
      </c>
      <c r="D4339" t="s">
        <v>6168</v>
      </c>
    </row>
    <row r="4340" spans="1:4">
      <c r="A4340" t="s">
        <v>10205</v>
      </c>
      <c r="B4340">
        <v>35076</v>
      </c>
      <c r="C4340" t="s">
        <v>6647</v>
      </c>
      <c r="D4340" t="s">
        <v>6168</v>
      </c>
    </row>
    <row r="4341" spans="1:4">
      <c r="A4341" t="s">
        <v>10206</v>
      </c>
      <c r="B4341">
        <v>31388</v>
      </c>
      <c r="D4341" t="s">
        <v>6168</v>
      </c>
    </row>
    <row r="4342" spans="1:4">
      <c r="A4342" t="s">
        <v>10207</v>
      </c>
      <c r="B4342">
        <v>35077</v>
      </c>
      <c r="C4342" t="s">
        <v>10208</v>
      </c>
      <c r="D4342" t="s">
        <v>6168</v>
      </c>
    </row>
    <row r="4343" spans="1:4">
      <c r="A4343" t="s">
        <v>10209</v>
      </c>
      <c r="B4343">
        <v>24146</v>
      </c>
      <c r="C4343" t="s">
        <v>10210</v>
      </c>
      <c r="D4343" t="s">
        <v>6168</v>
      </c>
    </row>
    <row r="4344" spans="1:4">
      <c r="A4344" t="s">
        <v>10211</v>
      </c>
      <c r="B4344">
        <v>30250</v>
      </c>
      <c r="C4344" t="s">
        <v>10212</v>
      </c>
      <c r="D4344" t="s">
        <v>6168</v>
      </c>
    </row>
    <row r="4345" spans="1:4">
      <c r="A4345" t="s">
        <v>10213</v>
      </c>
      <c r="B4345">
        <v>30314</v>
      </c>
      <c r="C4345" t="s">
        <v>10214</v>
      </c>
      <c r="D4345" t="s">
        <v>6168</v>
      </c>
    </row>
    <row r="4346" spans="1:4">
      <c r="A4346" t="s">
        <v>10215</v>
      </c>
      <c r="B4346">
        <v>26351</v>
      </c>
      <c r="C4346" t="s">
        <v>10216</v>
      </c>
      <c r="D4346" t="s">
        <v>6168</v>
      </c>
    </row>
    <row r="4347" spans="1:4">
      <c r="A4347" t="s">
        <v>10217</v>
      </c>
      <c r="B4347">
        <v>35078</v>
      </c>
      <c r="C4347" t="s">
        <v>10204</v>
      </c>
      <c r="D4347" t="s">
        <v>6168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10218</v>
      </c>
      <c r="B4349">
        <v>22935</v>
      </c>
      <c r="C4349" t="s">
        <v>10219</v>
      </c>
      <c r="D4349" t="s">
        <v>6168</v>
      </c>
    </row>
    <row r="4350" spans="1:4">
      <c r="A4350" t="s">
        <v>10220</v>
      </c>
      <c r="B4350">
        <v>893</v>
      </c>
      <c r="C4350" t="s">
        <v>10221</v>
      </c>
      <c r="D4350" t="s">
        <v>6168</v>
      </c>
    </row>
    <row r="4351" spans="1:4">
      <c r="A4351" t="s">
        <v>10222</v>
      </c>
      <c r="B4351">
        <v>24658</v>
      </c>
      <c r="C4351" t="s">
        <v>10223</v>
      </c>
      <c r="D4351" t="s">
        <v>6168</v>
      </c>
    </row>
    <row r="4352" spans="1:4">
      <c r="A4352" t="s">
        <v>10224</v>
      </c>
      <c r="B4352">
        <v>894</v>
      </c>
      <c r="C4352" t="s">
        <v>10225</v>
      </c>
      <c r="D4352" t="s">
        <v>6168</v>
      </c>
    </row>
    <row r="4353" spans="1:4">
      <c r="A4353" t="s">
        <v>10226</v>
      </c>
      <c r="B4353">
        <v>42929</v>
      </c>
      <c r="C4353" t="s">
        <v>10227</v>
      </c>
      <c r="D4353" t="s">
        <v>6168</v>
      </c>
    </row>
    <row r="4354" spans="1:4">
      <c r="A4354" t="s">
        <v>10228</v>
      </c>
      <c r="B4354">
        <v>895</v>
      </c>
      <c r="C4354" t="s">
        <v>10229</v>
      </c>
      <c r="D4354" t="s">
        <v>6168</v>
      </c>
    </row>
    <row r="4355" spans="1:4">
      <c r="A4355" t="s">
        <v>10230</v>
      </c>
      <c r="B4355">
        <v>22936</v>
      </c>
      <c r="C4355" t="s">
        <v>10231</v>
      </c>
      <c r="D4355" t="s">
        <v>6168</v>
      </c>
    </row>
    <row r="4356" spans="1:4">
      <c r="A4356" t="s">
        <v>10232</v>
      </c>
      <c r="B4356">
        <v>896</v>
      </c>
      <c r="C4356" t="s">
        <v>6232</v>
      </c>
      <c r="D4356" t="s">
        <v>6168</v>
      </c>
    </row>
    <row r="4357" spans="1:4">
      <c r="A4357" t="s">
        <v>10233</v>
      </c>
      <c r="B4357">
        <v>22937</v>
      </c>
      <c r="C4357" t="s">
        <v>10234</v>
      </c>
      <c r="D4357" t="s">
        <v>6168</v>
      </c>
    </row>
    <row r="4358" spans="1:4">
      <c r="A4358" t="s">
        <v>10235</v>
      </c>
      <c r="B4358">
        <v>27319</v>
      </c>
      <c r="C4358" t="s">
        <v>409</v>
      </c>
      <c r="D4358" t="s">
        <v>6168</v>
      </c>
    </row>
    <row r="4359" spans="1:4">
      <c r="A4359" t="s">
        <v>10236</v>
      </c>
      <c r="B4359">
        <v>27320</v>
      </c>
      <c r="C4359" t="s">
        <v>10227</v>
      </c>
      <c r="D4359" t="s">
        <v>6168</v>
      </c>
    </row>
    <row r="4360" spans="1:4">
      <c r="A4360" t="s">
        <v>10237</v>
      </c>
      <c r="B4360">
        <v>897</v>
      </c>
      <c r="C4360" t="s">
        <v>4950</v>
      </c>
      <c r="D4360" t="s">
        <v>6168</v>
      </c>
    </row>
    <row r="4361" spans="1:4">
      <c r="A4361" t="s">
        <v>10238</v>
      </c>
      <c r="B4361">
        <v>898</v>
      </c>
      <c r="C4361" t="s">
        <v>10239</v>
      </c>
      <c r="D4361" t="s">
        <v>6168</v>
      </c>
    </row>
    <row r="4362" spans="1:4">
      <c r="A4362" t="s">
        <v>10240</v>
      </c>
      <c r="B4362">
        <v>22940</v>
      </c>
      <c r="C4362" t="s">
        <v>10241</v>
      </c>
      <c r="D4362" t="s">
        <v>6168</v>
      </c>
    </row>
    <row r="4363" spans="1:4">
      <c r="A4363" t="s">
        <v>10242</v>
      </c>
      <c r="B4363">
        <v>41174</v>
      </c>
      <c r="C4363" t="s">
        <v>10231</v>
      </c>
      <c r="D4363" t="s">
        <v>6168</v>
      </c>
    </row>
    <row r="4364" spans="1:4">
      <c r="A4364" t="s">
        <v>10243</v>
      </c>
      <c r="B4364">
        <v>3115</v>
      </c>
      <c r="C4364" t="s">
        <v>10244</v>
      </c>
      <c r="D4364" t="s">
        <v>6168</v>
      </c>
    </row>
    <row r="4365" spans="1:4">
      <c r="A4365" t="s">
        <v>10245</v>
      </c>
      <c r="B4365">
        <v>899</v>
      </c>
      <c r="C4365" t="s">
        <v>10246</v>
      </c>
      <c r="D4365" t="s">
        <v>6168</v>
      </c>
    </row>
    <row r="4366" spans="1:4">
      <c r="A4366" t="s">
        <v>10247</v>
      </c>
      <c r="B4366">
        <v>33981</v>
      </c>
      <c r="C4366" t="s">
        <v>10248</v>
      </c>
      <c r="D4366" t="s">
        <v>6168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10249</v>
      </c>
      <c r="B4368">
        <v>36061</v>
      </c>
      <c r="C4368" t="s">
        <v>6214</v>
      </c>
      <c r="D4368" t="s">
        <v>6168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10250</v>
      </c>
      <c r="B4370">
        <v>26350</v>
      </c>
      <c r="C4370" t="s">
        <v>10251</v>
      </c>
      <c r="D4370" t="s">
        <v>6168</v>
      </c>
    </row>
    <row r="4371" spans="1:4">
      <c r="A4371" t="s">
        <v>10252</v>
      </c>
      <c r="B4371">
        <v>26349</v>
      </c>
      <c r="C4371" t="s">
        <v>6914</v>
      </c>
      <c r="D4371" t="s">
        <v>6168</v>
      </c>
    </row>
    <row r="4372" spans="1:4">
      <c r="A4372" t="s">
        <v>10253</v>
      </c>
      <c r="B4372">
        <v>24147</v>
      </c>
      <c r="C4372" t="s">
        <v>6558</v>
      </c>
      <c r="D4372" t="s">
        <v>6168</v>
      </c>
    </row>
    <row r="4373" spans="1:4">
      <c r="A4373" t="s">
        <v>10254</v>
      </c>
      <c r="B4373">
        <v>40526</v>
      </c>
      <c r="C4373" t="s">
        <v>6924</v>
      </c>
      <c r="D4373" t="s">
        <v>6168</v>
      </c>
    </row>
    <row r="4374" spans="1:4">
      <c r="A4374" t="s">
        <v>10255</v>
      </c>
      <c r="B4374">
        <v>24148</v>
      </c>
      <c r="C4374" t="s">
        <v>6924</v>
      </c>
      <c r="D4374" t="s">
        <v>6168</v>
      </c>
    </row>
    <row r="4375" spans="1:4">
      <c r="A4375" t="s">
        <v>10256</v>
      </c>
      <c r="B4375">
        <v>36239</v>
      </c>
      <c r="C4375" t="s">
        <v>10257</v>
      </c>
      <c r="D4375" t="s">
        <v>6168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10258</v>
      </c>
      <c r="B4377">
        <v>23732</v>
      </c>
      <c r="C4377" t="s">
        <v>4950</v>
      </c>
      <c r="D4377" t="s">
        <v>6168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10259</v>
      </c>
      <c r="B4379">
        <v>30857</v>
      </c>
      <c r="C4379" t="s">
        <v>6914</v>
      </c>
      <c r="D4379" t="s">
        <v>6168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10260</v>
      </c>
      <c r="B4381">
        <v>30315</v>
      </c>
      <c r="D4381" t="s">
        <v>6314</v>
      </c>
    </row>
    <row r="4382" spans="1:4">
      <c r="A4382" t="s">
        <v>10261</v>
      </c>
      <c r="B4382">
        <v>5123</v>
      </c>
      <c r="C4382" t="s">
        <v>8153</v>
      </c>
      <c r="D4382" t="s">
        <v>6605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10262</v>
      </c>
      <c r="B4385">
        <v>23515</v>
      </c>
      <c r="C4385" t="s">
        <v>3918</v>
      </c>
      <c r="D4385" t="s">
        <v>6267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10263</v>
      </c>
      <c r="B4387">
        <v>4330</v>
      </c>
      <c r="C4387" t="s">
        <v>10264</v>
      </c>
      <c r="D4387" t="s">
        <v>6168</v>
      </c>
    </row>
    <row r="4388" spans="1:4">
      <c r="A4388" t="s">
        <v>10265</v>
      </c>
      <c r="B4388">
        <v>4331</v>
      </c>
      <c r="C4388" t="s">
        <v>10266</v>
      </c>
      <c r="D4388" t="s">
        <v>6168</v>
      </c>
    </row>
    <row r="4389" spans="1:4">
      <c r="A4389" t="s">
        <v>10267</v>
      </c>
      <c r="B4389">
        <v>34002</v>
      </c>
      <c r="C4389" t="s">
        <v>10268</v>
      </c>
      <c r="D4389" t="s">
        <v>6168</v>
      </c>
    </row>
    <row r="4390" spans="1:4">
      <c r="A4390" t="s">
        <v>10269</v>
      </c>
      <c r="B4390">
        <v>4332</v>
      </c>
      <c r="C4390" t="s">
        <v>10270</v>
      </c>
      <c r="D4390" t="s">
        <v>6168</v>
      </c>
    </row>
    <row r="4391" spans="1:4">
      <c r="A4391" t="s">
        <v>10271</v>
      </c>
      <c r="B4391">
        <v>4333</v>
      </c>
      <c r="C4391" t="s">
        <v>10272</v>
      </c>
      <c r="D4391" t="s">
        <v>6168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10273</v>
      </c>
      <c r="B4393">
        <v>42059</v>
      </c>
      <c r="C4393" t="s">
        <v>9179</v>
      </c>
      <c r="D4393" t="s">
        <v>6168</v>
      </c>
    </row>
    <row r="4394" spans="1:4">
      <c r="A4394" t="s">
        <v>10274</v>
      </c>
      <c r="B4394">
        <v>26348</v>
      </c>
      <c r="C4394" t="s">
        <v>6546</v>
      </c>
      <c r="D4394" t="s">
        <v>6168</v>
      </c>
    </row>
    <row r="4395" spans="1:4">
      <c r="A4395" t="s">
        <v>10275</v>
      </c>
      <c r="B4395">
        <v>25538</v>
      </c>
      <c r="C4395" t="s">
        <v>10276</v>
      </c>
      <c r="D4395" t="s">
        <v>6248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10277</v>
      </c>
      <c r="B4397">
        <v>22067</v>
      </c>
      <c r="C4397" t="s">
        <v>776</v>
      </c>
      <c r="D4397" t="s">
        <v>6168</v>
      </c>
    </row>
    <row r="4398" spans="1:4">
      <c r="A4398" t="s">
        <v>10278</v>
      </c>
      <c r="B4398">
        <v>22068</v>
      </c>
      <c r="C4398" t="s">
        <v>10279</v>
      </c>
      <c r="D4398" t="s">
        <v>6168</v>
      </c>
    </row>
    <row r="4399" spans="1:4">
      <c r="A4399" t="s">
        <v>10280</v>
      </c>
      <c r="B4399">
        <v>22069</v>
      </c>
      <c r="C4399" t="s">
        <v>10281</v>
      </c>
      <c r="D4399" t="s">
        <v>6305</v>
      </c>
    </row>
    <row r="4400" spans="1:4">
      <c r="A4400" t="s">
        <v>10282</v>
      </c>
      <c r="B4400">
        <v>29277</v>
      </c>
      <c r="C4400" t="s">
        <v>7418</v>
      </c>
      <c r="D4400" t="s">
        <v>6292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10283</v>
      </c>
      <c r="B4403">
        <v>22072</v>
      </c>
      <c r="C4403" t="s">
        <v>9035</v>
      </c>
      <c r="D4403" t="s">
        <v>6168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10284</v>
      </c>
      <c r="B4405">
        <v>23734</v>
      </c>
      <c r="C4405" t="s">
        <v>10285</v>
      </c>
      <c r="D4405" t="s">
        <v>6168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10286</v>
      </c>
      <c r="B4407">
        <v>30746</v>
      </c>
      <c r="C4407" t="s">
        <v>4340</v>
      </c>
      <c r="D4407" t="s">
        <v>6168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10287</v>
      </c>
      <c r="B4409">
        <v>23133</v>
      </c>
      <c r="D4409" t="s">
        <v>6314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10288</v>
      </c>
      <c r="B4413">
        <v>23111</v>
      </c>
      <c r="C4413" t="s">
        <v>409</v>
      </c>
      <c r="D4413" t="s">
        <v>6267</v>
      </c>
    </row>
    <row r="4414" spans="1:4">
      <c r="A4414" t="s">
        <v>10289</v>
      </c>
      <c r="B4414">
        <v>23112</v>
      </c>
      <c r="C4414" t="s">
        <v>409</v>
      </c>
      <c r="D4414" t="s">
        <v>6305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10290</v>
      </c>
      <c r="B4416">
        <v>2727</v>
      </c>
      <c r="C4416" t="s">
        <v>10291</v>
      </c>
      <c r="D4416" t="s">
        <v>6168</v>
      </c>
    </row>
    <row r="4417" spans="1:4">
      <c r="A4417" t="s">
        <v>10292</v>
      </c>
      <c r="B4417">
        <v>41764</v>
      </c>
      <c r="C4417" t="s">
        <v>10293</v>
      </c>
      <c r="D4417" t="s">
        <v>6168</v>
      </c>
    </row>
    <row r="4418" spans="1:4">
      <c r="A4418" t="s">
        <v>10294</v>
      </c>
      <c r="B4418">
        <v>41765</v>
      </c>
      <c r="C4418" t="s">
        <v>10295</v>
      </c>
      <c r="D4418" t="s">
        <v>6168</v>
      </c>
    </row>
    <row r="4419" spans="1:4">
      <c r="A4419" t="s">
        <v>10296</v>
      </c>
      <c r="B4419">
        <v>41766</v>
      </c>
      <c r="C4419" t="s">
        <v>10297</v>
      </c>
      <c r="D4419" t="s">
        <v>6449</v>
      </c>
    </row>
    <row r="4420" spans="1:4">
      <c r="A4420" t="s">
        <v>10298</v>
      </c>
      <c r="B4420">
        <v>2728</v>
      </c>
      <c r="C4420" t="s">
        <v>10291</v>
      </c>
      <c r="D4420" t="s">
        <v>6168</v>
      </c>
    </row>
    <row r="4421" spans="1:4">
      <c r="A4421" t="s">
        <v>10299</v>
      </c>
      <c r="B4421">
        <v>2729</v>
      </c>
      <c r="C4421" t="s">
        <v>6417</v>
      </c>
      <c r="D4421" t="s">
        <v>6168</v>
      </c>
    </row>
    <row r="4422" spans="1:4">
      <c r="A4422" t="s">
        <v>10300</v>
      </c>
      <c r="B4422">
        <v>2730</v>
      </c>
      <c r="C4422" t="s">
        <v>10291</v>
      </c>
      <c r="D4422" t="s">
        <v>6168</v>
      </c>
    </row>
    <row r="4423" spans="1:4">
      <c r="A4423" t="s">
        <v>10301</v>
      </c>
      <c r="B4423">
        <v>2731</v>
      </c>
      <c r="C4423" t="s">
        <v>10302</v>
      </c>
      <c r="D4423" t="s">
        <v>6168</v>
      </c>
    </row>
    <row r="4424" spans="1:4">
      <c r="A4424" t="s">
        <v>10303</v>
      </c>
      <c r="B4424">
        <v>2732</v>
      </c>
      <c r="C4424" t="s">
        <v>10304</v>
      </c>
      <c r="D4424" t="s">
        <v>6168</v>
      </c>
    </row>
    <row r="4425" spans="1:4">
      <c r="A4425" t="s">
        <v>10305</v>
      </c>
      <c r="B4425">
        <v>2733</v>
      </c>
      <c r="D4425" t="s">
        <v>6168</v>
      </c>
    </row>
    <row r="4426" spans="1:4">
      <c r="A4426" t="s">
        <v>16668</v>
      </c>
      <c r="B4426">
        <v>3153</v>
      </c>
      <c r="C4426" t="s">
        <v>670</v>
      </c>
      <c r="D4426" t="s">
        <v>6168</v>
      </c>
    </row>
    <row r="4427" spans="1:4">
      <c r="A4427" t="s">
        <v>10306</v>
      </c>
      <c r="B4427">
        <v>2734</v>
      </c>
      <c r="C4427" t="s">
        <v>10307</v>
      </c>
      <c r="D4427" t="s">
        <v>6168</v>
      </c>
    </row>
    <row r="4428" spans="1:4">
      <c r="A4428" t="s">
        <v>10308</v>
      </c>
      <c r="B4428">
        <v>23141</v>
      </c>
      <c r="D4428" t="s">
        <v>6314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10309</v>
      </c>
      <c r="B4431">
        <v>43175</v>
      </c>
      <c r="C4431" t="s">
        <v>10310</v>
      </c>
      <c r="D4431" t="s">
        <v>6168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10311</v>
      </c>
      <c r="B4433">
        <v>22074</v>
      </c>
      <c r="C4433" t="s">
        <v>10312</v>
      </c>
      <c r="D4433" t="s">
        <v>6168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10313</v>
      </c>
      <c r="B4435">
        <v>35400</v>
      </c>
      <c r="C4435" t="s">
        <v>6239</v>
      </c>
      <c r="D4435" t="s">
        <v>6168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10314</v>
      </c>
      <c r="B4437">
        <v>23495</v>
      </c>
      <c r="C4437" t="s">
        <v>6558</v>
      </c>
      <c r="D4437" t="s">
        <v>6168</v>
      </c>
    </row>
    <row r="4438" spans="1:4">
      <c r="A4438" t="s">
        <v>10315</v>
      </c>
      <c r="B4438">
        <v>23496</v>
      </c>
      <c r="C4438" t="s">
        <v>4950</v>
      </c>
      <c r="D4438" t="s">
        <v>6168</v>
      </c>
    </row>
    <row r="4439" spans="1:4">
      <c r="A4439" t="s">
        <v>10316</v>
      </c>
      <c r="B4439">
        <v>25469</v>
      </c>
      <c r="C4439" t="s">
        <v>1273</v>
      </c>
      <c r="D4439" t="s">
        <v>6168</v>
      </c>
    </row>
    <row r="4440" spans="1:4">
      <c r="A4440" t="s">
        <v>10317</v>
      </c>
      <c r="B4440">
        <v>23497</v>
      </c>
      <c r="C4440" t="s">
        <v>10318</v>
      </c>
      <c r="D4440" t="s">
        <v>6168</v>
      </c>
    </row>
    <row r="4441" spans="1:4">
      <c r="A4441" t="s">
        <v>10319</v>
      </c>
      <c r="B4441">
        <v>41175</v>
      </c>
      <c r="C4441" t="s">
        <v>6192</v>
      </c>
      <c r="D4441" t="s">
        <v>6168</v>
      </c>
    </row>
    <row r="4442" spans="1:4">
      <c r="A4442" t="s">
        <v>10320</v>
      </c>
      <c r="B4442">
        <v>23498</v>
      </c>
      <c r="C4442" t="s">
        <v>6194</v>
      </c>
      <c r="D4442" t="s">
        <v>6168</v>
      </c>
    </row>
    <row r="4443" spans="1:4">
      <c r="A4443" t="s">
        <v>10321</v>
      </c>
      <c r="B4443">
        <v>23499</v>
      </c>
      <c r="C4443" t="s">
        <v>6851</v>
      </c>
      <c r="D4443" t="s">
        <v>6168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10322</v>
      </c>
      <c r="B4446">
        <v>29418</v>
      </c>
      <c r="C4446" t="s">
        <v>1201</v>
      </c>
      <c r="D4446" t="s">
        <v>6168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10323</v>
      </c>
      <c r="B4448">
        <v>20360</v>
      </c>
      <c r="C4448" t="s">
        <v>10293</v>
      </c>
      <c r="D4448" t="s">
        <v>6168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10324</v>
      </c>
      <c r="B4450">
        <v>30247</v>
      </c>
      <c r="C4450" t="s">
        <v>10325</v>
      </c>
      <c r="D4450" t="s">
        <v>6168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10326</v>
      </c>
      <c r="B4452">
        <v>30856</v>
      </c>
      <c r="C4452" t="s">
        <v>7271</v>
      </c>
      <c r="D4452" t="s">
        <v>6168</v>
      </c>
    </row>
    <row r="4453" spans="1:4">
      <c r="A4453" t="s">
        <v>10327</v>
      </c>
      <c r="B4453">
        <v>30855</v>
      </c>
      <c r="C4453" t="s">
        <v>6219</v>
      </c>
      <c r="D4453" t="s">
        <v>6168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10328</v>
      </c>
      <c r="B4455">
        <v>22076</v>
      </c>
      <c r="C4455" t="s">
        <v>7273</v>
      </c>
      <c r="D4455" t="s">
        <v>6168</v>
      </c>
    </row>
    <row r="4456" spans="1:4">
      <c r="A4456" t="s">
        <v>10329</v>
      </c>
      <c r="B4456">
        <v>23121</v>
      </c>
      <c r="D4456" t="s">
        <v>6230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10330</v>
      </c>
      <c r="B4458">
        <v>910</v>
      </c>
      <c r="C4458" t="s">
        <v>4950</v>
      </c>
      <c r="D4458" t="s">
        <v>6168</v>
      </c>
    </row>
    <row r="4459" spans="1:4">
      <c r="A4459" t="s">
        <v>10331</v>
      </c>
      <c r="B4459">
        <v>911</v>
      </c>
      <c r="C4459" t="s">
        <v>10332</v>
      </c>
      <c r="D4459" t="s">
        <v>6168</v>
      </c>
    </row>
    <row r="4460" spans="1:4">
      <c r="A4460" t="s">
        <v>10333</v>
      </c>
      <c r="B4460">
        <v>25797</v>
      </c>
      <c r="C4460" t="s">
        <v>10334</v>
      </c>
      <c r="D4460" t="s">
        <v>6168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10335</v>
      </c>
      <c r="B4462">
        <v>43605</v>
      </c>
      <c r="C4462" t="s">
        <v>1393</v>
      </c>
      <c r="D4462" t="s">
        <v>123</v>
      </c>
    </row>
    <row r="4463" spans="1:4">
      <c r="A4463" t="s">
        <v>10336</v>
      </c>
      <c r="B4463">
        <v>43616</v>
      </c>
      <c r="C4463" t="s">
        <v>10337</v>
      </c>
      <c r="D4463" t="s">
        <v>6168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10338</v>
      </c>
      <c r="B4466">
        <v>2265</v>
      </c>
      <c r="D4466" t="s">
        <v>6168</v>
      </c>
    </row>
    <row r="4467" spans="1:4">
      <c r="A4467" t="s">
        <v>10339</v>
      </c>
      <c r="B4467">
        <v>2266</v>
      </c>
      <c r="C4467" t="s">
        <v>1421</v>
      </c>
      <c r="D4467" t="s">
        <v>6168</v>
      </c>
    </row>
    <row r="4468" spans="1:4">
      <c r="A4468" t="s">
        <v>10340</v>
      </c>
      <c r="B4468">
        <v>31786</v>
      </c>
      <c r="C4468" t="s">
        <v>10341</v>
      </c>
      <c r="D4468" t="s">
        <v>6168</v>
      </c>
    </row>
    <row r="4469" spans="1:4">
      <c r="A4469" t="s">
        <v>10342</v>
      </c>
      <c r="B4469">
        <v>5243</v>
      </c>
      <c r="C4469" t="s">
        <v>10343</v>
      </c>
      <c r="D4469" t="s">
        <v>6168</v>
      </c>
    </row>
    <row r="4470" spans="1:4">
      <c r="A4470" t="s">
        <v>10344</v>
      </c>
      <c r="B4470">
        <v>5242</v>
      </c>
      <c r="C4470" t="s">
        <v>10345</v>
      </c>
      <c r="D4470" t="s">
        <v>6168</v>
      </c>
    </row>
    <row r="4471" spans="1:4">
      <c r="A4471" t="s">
        <v>10346</v>
      </c>
      <c r="B4471">
        <v>5244</v>
      </c>
      <c r="C4471" t="s">
        <v>2156</v>
      </c>
      <c r="D4471" t="s">
        <v>6168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10347</v>
      </c>
      <c r="B4473">
        <v>20359</v>
      </c>
      <c r="C4473" t="s">
        <v>1563</v>
      </c>
      <c r="D4473" t="s">
        <v>6267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10348</v>
      </c>
      <c r="B4475">
        <v>24966</v>
      </c>
      <c r="C4475" t="s">
        <v>6689</v>
      </c>
      <c r="D4475" t="s">
        <v>6168</v>
      </c>
    </row>
    <row r="4476" spans="1:4">
      <c r="A4476" t="s">
        <v>10349</v>
      </c>
      <c r="B4476">
        <v>24967</v>
      </c>
      <c r="C4476" t="s">
        <v>1346</v>
      </c>
      <c r="D4476" t="s">
        <v>6168</v>
      </c>
    </row>
    <row r="4477" spans="1:4">
      <c r="A4477" t="s">
        <v>10350</v>
      </c>
      <c r="B4477">
        <v>30252</v>
      </c>
      <c r="C4477" t="s">
        <v>10351</v>
      </c>
      <c r="D4477" t="s">
        <v>6168</v>
      </c>
    </row>
    <row r="4478" spans="1:4">
      <c r="A4478" t="s">
        <v>10352</v>
      </c>
      <c r="B4478">
        <v>24968</v>
      </c>
      <c r="C4478" t="s">
        <v>10353</v>
      </c>
      <c r="D4478" t="s">
        <v>6168</v>
      </c>
    </row>
    <row r="4479" spans="1:4">
      <c r="A4479" t="s">
        <v>10354</v>
      </c>
      <c r="B4479">
        <v>34003</v>
      </c>
      <c r="C4479" t="s">
        <v>4203</v>
      </c>
      <c r="D4479" t="s">
        <v>6168</v>
      </c>
    </row>
    <row r="4480" spans="1:4">
      <c r="A4480" t="s">
        <v>10355</v>
      </c>
      <c r="B4480">
        <v>24969</v>
      </c>
      <c r="C4480" t="s">
        <v>1899</v>
      </c>
      <c r="D4480" t="s">
        <v>6168</v>
      </c>
    </row>
    <row r="4481" spans="1:4">
      <c r="A4481" t="s">
        <v>10356</v>
      </c>
      <c r="B4481">
        <v>24970</v>
      </c>
      <c r="C4481" t="s">
        <v>2626</v>
      </c>
      <c r="D4481" t="s">
        <v>6168</v>
      </c>
    </row>
    <row r="4482" spans="1:4">
      <c r="A4482" t="s">
        <v>10357</v>
      </c>
      <c r="B4482">
        <v>24971</v>
      </c>
      <c r="C4482" t="s">
        <v>1257</v>
      </c>
      <c r="D4482" t="s">
        <v>6168</v>
      </c>
    </row>
    <row r="4483" spans="1:4">
      <c r="A4483" t="s">
        <v>10358</v>
      </c>
      <c r="B4483">
        <v>29281</v>
      </c>
      <c r="C4483" t="s">
        <v>10359</v>
      </c>
      <c r="D4483" t="s">
        <v>6168</v>
      </c>
    </row>
    <row r="4484" spans="1:4">
      <c r="A4484" t="s">
        <v>10360</v>
      </c>
      <c r="B4484">
        <v>24972</v>
      </c>
      <c r="C4484" t="s">
        <v>1109</v>
      </c>
      <c r="D4484" t="s">
        <v>6168</v>
      </c>
    </row>
    <row r="4485" spans="1:4">
      <c r="A4485" t="s">
        <v>10361</v>
      </c>
      <c r="B4485">
        <v>24973</v>
      </c>
      <c r="C4485" t="s">
        <v>5279</v>
      </c>
      <c r="D4485" t="s">
        <v>6168</v>
      </c>
    </row>
    <row r="4486" spans="1:4">
      <c r="A4486" t="s">
        <v>10362</v>
      </c>
      <c r="B4486">
        <v>25031</v>
      </c>
      <c r="C4486" t="s">
        <v>1359</v>
      </c>
      <c r="D4486" t="s">
        <v>6168</v>
      </c>
    </row>
    <row r="4487" spans="1:4">
      <c r="A4487" t="s">
        <v>10363</v>
      </c>
      <c r="B4487">
        <v>24974</v>
      </c>
      <c r="C4487" t="s">
        <v>1369</v>
      </c>
      <c r="D4487" t="s">
        <v>6168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10364</v>
      </c>
      <c r="B4489">
        <v>23736</v>
      </c>
      <c r="D4489" t="s">
        <v>6230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17448</v>
      </c>
      <c r="B4491">
        <v>45738</v>
      </c>
      <c r="C4491" t="s">
        <v>10715</v>
      </c>
      <c r="D4491" t="s">
        <v>6168</v>
      </c>
    </row>
    <row r="4492" spans="1:4">
      <c r="A4492" t="s">
        <v>10365</v>
      </c>
      <c r="B4492">
        <v>25132</v>
      </c>
      <c r="C4492" t="s">
        <v>10366</v>
      </c>
      <c r="D4492" t="s">
        <v>6168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10367</v>
      </c>
      <c r="B4495">
        <v>22077</v>
      </c>
      <c r="C4495" t="s">
        <v>10368</v>
      </c>
      <c r="D4495" t="s">
        <v>6168</v>
      </c>
    </row>
    <row r="4496" spans="1:4">
      <c r="A4496" t="s">
        <v>10369</v>
      </c>
      <c r="B4496">
        <v>22078</v>
      </c>
      <c r="C4496" t="s">
        <v>4950</v>
      </c>
      <c r="D4496" t="s">
        <v>6168</v>
      </c>
    </row>
    <row r="4497" spans="1:4">
      <c r="A4497" t="s">
        <v>10370</v>
      </c>
      <c r="B4497">
        <v>3345</v>
      </c>
      <c r="C4497" t="s">
        <v>4950</v>
      </c>
      <c r="D4497" t="s">
        <v>6168</v>
      </c>
    </row>
    <row r="4498" spans="1:4">
      <c r="A4498" t="s">
        <v>10371</v>
      </c>
      <c r="B4498">
        <v>42763</v>
      </c>
      <c r="C4498" t="s">
        <v>8763</v>
      </c>
      <c r="D4498" t="s">
        <v>6168</v>
      </c>
    </row>
    <row r="4499" spans="1:4">
      <c r="A4499" t="s">
        <v>10372</v>
      </c>
      <c r="B4499">
        <v>22079</v>
      </c>
      <c r="C4499" t="s">
        <v>10373</v>
      </c>
      <c r="D4499" t="s">
        <v>6168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10374</v>
      </c>
      <c r="B4501">
        <v>22081</v>
      </c>
      <c r="C4501" t="s">
        <v>6483</v>
      </c>
      <c r="D4501" t="s">
        <v>6168</v>
      </c>
    </row>
    <row r="4502" spans="1:4">
      <c r="A4502" t="s">
        <v>10375</v>
      </c>
      <c r="B4502">
        <v>22082</v>
      </c>
      <c r="C4502" t="s">
        <v>10376</v>
      </c>
      <c r="D4502" t="s">
        <v>6168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10377</v>
      </c>
      <c r="B4504">
        <v>5228</v>
      </c>
      <c r="C4504" t="s">
        <v>16685</v>
      </c>
      <c r="D4504" t="s">
        <v>6168</v>
      </c>
    </row>
    <row r="4505" spans="1:4">
      <c r="A4505" t="s">
        <v>17449</v>
      </c>
      <c r="B4505">
        <v>45739</v>
      </c>
      <c r="C4505" t="s">
        <v>590</v>
      </c>
      <c r="D4505" t="s">
        <v>123</v>
      </c>
    </row>
    <row r="4506" spans="1:4">
      <c r="A4506" t="s">
        <v>17519</v>
      </c>
      <c r="B4506">
        <v>45940</v>
      </c>
      <c r="C4506" t="s">
        <v>11422</v>
      </c>
      <c r="D4506" t="s">
        <v>6168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10378</v>
      </c>
      <c r="B4509">
        <v>35119</v>
      </c>
      <c r="C4509" t="s">
        <v>10379</v>
      </c>
      <c r="D4509" t="s">
        <v>6168</v>
      </c>
    </row>
    <row r="4510" spans="1:4">
      <c r="A4510" t="s">
        <v>10380</v>
      </c>
      <c r="B4510">
        <v>24923</v>
      </c>
      <c r="C4510" t="s">
        <v>6317</v>
      </c>
      <c r="D4510" t="s">
        <v>6168</v>
      </c>
    </row>
    <row r="4511" spans="1:4">
      <c r="A4511" t="s">
        <v>10381</v>
      </c>
      <c r="B4511">
        <v>25471</v>
      </c>
      <c r="C4511" t="s">
        <v>10382</v>
      </c>
      <c r="D4511" t="s">
        <v>6168</v>
      </c>
    </row>
    <row r="4512" spans="1:4">
      <c r="A4512" t="s">
        <v>10383</v>
      </c>
      <c r="B4512">
        <v>24924</v>
      </c>
      <c r="C4512" t="s">
        <v>10384</v>
      </c>
      <c r="D4512" t="s">
        <v>6168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10385</v>
      </c>
      <c r="B4514">
        <v>4322</v>
      </c>
      <c r="C4514" t="s">
        <v>148</v>
      </c>
      <c r="D4514" t="s">
        <v>6230</v>
      </c>
    </row>
    <row r="4515" spans="1:4">
      <c r="A4515" t="s">
        <v>10386</v>
      </c>
      <c r="B4515">
        <v>3329</v>
      </c>
      <c r="D4515" t="s">
        <v>6245</v>
      </c>
    </row>
    <row r="4516" spans="1:4">
      <c r="A4516" t="s">
        <v>10387</v>
      </c>
      <c r="B4516">
        <v>23737</v>
      </c>
      <c r="C4516" t="s">
        <v>4227</v>
      </c>
      <c r="D4516" t="s">
        <v>6292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10388</v>
      </c>
      <c r="B4519">
        <v>288</v>
      </c>
      <c r="C4519" t="s">
        <v>9411</v>
      </c>
      <c r="D4519" t="s">
        <v>6168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10389</v>
      </c>
      <c r="B4522">
        <v>25133</v>
      </c>
      <c r="C4522" t="s">
        <v>10390</v>
      </c>
      <c r="D4522" t="s">
        <v>6248</v>
      </c>
    </row>
    <row r="4523" spans="1:4">
      <c r="A4523" t="s">
        <v>10391</v>
      </c>
      <c r="B4523">
        <v>25322</v>
      </c>
      <c r="C4523" t="s">
        <v>10392</v>
      </c>
      <c r="D4523" t="s">
        <v>6168</v>
      </c>
    </row>
    <row r="4524" spans="1:4">
      <c r="A4524" t="s">
        <v>10393</v>
      </c>
      <c r="B4524">
        <v>25323</v>
      </c>
      <c r="C4524" t="s">
        <v>10394</v>
      </c>
      <c r="D4524" t="s">
        <v>6168</v>
      </c>
    </row>
    <row r="4525" spans="1:4">
      <c r="A4525" t="s">
        <v>10395</v>
      </c>
      <c r="B4525">
        <v>25472</v>
      </c>
      <c r="C4525" t="s">
        <v>10396</v>
      </c>
      <c r="D4525" t="s">
        <v>6449</v>
      </c>
    </row>
    <row r="4526" spans="1:4">
      <c r="A4526" t="s">
        <v>10397</v>
      </c>
      <c r="B4526">
        <v>23738</v>
      </c>
      <c r="D4526" t="s">
        <v>6245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10398</v>
      </c>
      <c r="B4529">
        <v>22083</v>
      </c>
      <c r="D4529" t="s">
        <v>6267</v>
      </c>
    </row>
    <row r="4530" spans="1:4">
      <c r="A4530" t="s">
        <v>10399</v>
      </c>
      <c r="B4530">
        <v>22084</v>
      </c>
      <c r="C4530" t="s">
        <v>432</v>
      </c>
      <c r="D4530" t="s">
        <v>6305</v>
      </c>
    </row>
    <row r="4531" spans="1:4">
      <c r="A4531" t="s">
        <v>10400</v>
      </c>
      <c r="B4531">
        <v>22085</v>
      </c>
      <c r="D4531" t="s">
        <v>6314</v>
      </c>
    </row>
    <row r="4532" spans="1:4">
      <c r="A4532" t="s">
        <v>10401</v>
      </c>
      <c r="B4532">
        <v>22086</v>
      </c>
      <c r="C4532" t="s">
        <v>10402</v>
      </c>
      <c r="D4532" t="s">
        <v>6267</v>
      </c>
    </row>
    <row r="4533" spans="1:4">
      <c r="A4533" t="s">
        <v>10403</v>
      </c>
      <c r="B4533">
        <v>22087</v>
      </c>
      <c r="C4533" t="s">
        <v>10402</v>
      </c>
      <c r="D4533" t="s">
        <v>6267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10404</v>
      </c>
      <c r="B4535">
        <v>2641</v>
      </c>
      <c r="C4535" t="s">
        <v>7933</v>
      </c>
      <c r="D4535" t="s">
        <v>6168</v>
      </c>
    </row>
    <row r="4536" spans="1:4">
      <c r="A4536" t="s">
        <v>10405</v>
      </c>
      <c r="B4536">
        <v>2642</v>
      </c>
      <c r="C4536" t="s">
        <v>432</v>
      </c>
      <c r="D4536" t="s">
        <v>6168</v>
      </c>
    </row>
    <row r="4537" spans="1:4">
      <c r="A4537" t="s">
        <v>10406</v>
      </c>
      <c r="B4537">
        <v>2643</v>
      </c>
      <c r="C4537" t="s">
        <v>1580</v>
      </c>
      <c r="D4537" t="s">
        <v>6168</v>
      </c>
    </row>
    <row r="4538" spans="1:4">
      <c r="A4538" t="s">
        <v>10407</v>
      </c>
      <c r="B4538">
        <v>2644</v>
      </c>
      <c r="C4538" t="s">
        <v>10408</v>
      </c>
      <c r="D4538" t="s">
        <v>6168</v>
      </c>
    </row>
    <row r="4539" spans="1:4">
      <c r="A4539" t="s">
        <v>10409</v>
      </c>
      <c r="B4539">
        <v>2645</v>
      </c>
      <c r="C4539" t="s">
        <v>4950</v>
      </c>
      <c r="D4539" t="s">
        <v>6168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10410</v>
      </c>
      <c r="B4541">
        <v>30316</v>
      </c>
      <c r="C4541" t="s">
        <v>2659</v>
      </c>
      <c r="D4541" t="s">
        <v>6314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10411</v>
      </c>
      <c r="B4543">
        <v>3970</v>
      </c>
      <c r="C4543" t="s">
        <v>4950</v>
      </c>
      <c r="D4543" t="s">
        <v>6168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10412</v>
      </c>
      <c r="B4545">
        <v>24975</v>
      </c>
      <c r="C4545" t="s">
        <v>1128</v>
      </c>
      <c r="D4545" t="s">
        <v>6168</v>
      </c>
    </row>
    <row r="4546" spans="1:4">
      <c r="A4546" t="s">
        <v>10413</v>
      </c>
      <c r="B4546">
        <v>40525</v>
      </c>
      <c r="C4546" t="s">
        <v>10414</v>
      </c>
      <c r="D4546" t="s">
        <v>6168</v>
      </c>
    </row>
    <row r="4547" spans="1:4">
      <c r="A4547" t="s">
        <v>10415</v>
      </c>
      <c r="B4547">
        <v>24976</v>
      </c>
      <c r="C4547" t="s">
        <v>1346</v>
      </c>
      <c r="D4547" t="s">
        <v>6168</v>
      </c>
    </row>
    <row r="4548" spans="1:4">
      <c r="A4548" t="s">
        <v>10416</v>
      </c>
      <c r="B4548">
        <v>26344</v>
      </c>
      <c r="C4548" t="s">
        <v>10417</v>
      </c>
      <c r="D4548" t="s">
        <v>6168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10418</v>
      </c>
      <c r="B4550">
        <v>34094</v>
      </c>
      <c r="C4550" t="s">
        <v>10419</v>
      </c>
      <c r="D4550" t="s">
        <v>6168</v>
      </c>
    </row>
    <row r="4551" spans="1:4">
      <c r="A4551" t="s">
        <v>10420</v>
      </c>
      <c r="B4551">
        <v>24977</v>
      </c>
      <c r="C4551" t="s">
        <v>10419</v>
      </c>
      <c r="D4551" t="s">
        <v>6168</v>
      </c>
    </row>
    <row r="4552" spans="1:4">
      <c r="A4552" t="s">
        <v>10421</v>
      </c>
      <c r="B4552">
        <v>24978</v>
      </c>
      <c r="C4552" t="s">
        <v>10422</v>
      </c>
      <c r="D4552" t="s">
        <v>6168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10423</v>
      </c>
      <c r="B4556">
        <v>41176</v>
      </c>
      <c r="C4556" t="s">
        <v>10424</v>
      </c>
      <c r="D4556" t="s">
        <v>6168</v>
      </c>
    </row>
    <row r="4557" spans="1:4">
      <c r="A4557" t="s">
        <v>10425</v>
      </c>
      <c r="B4557">
        <v>36237</v>
      </c>
      <c r="C4557" t="s">
        <v>10426</v>
      </c>
      <c r="D4557" t="s">
        <v>6168</v>
      </c>
    </row>
    <row r="4558" spans="1:4">
      <c r="A4558" t="s">
        <v>10427</v>
      </c>
      <c r="B4558">
        <v>36236</v>
      </c>
      <c r="C4558" t="s">
        <v>6216</v>
      </c>
      <c r="D4558" t="s">
        <v>6168</v>
      </c>
    </row>
    <row r="4559" spans="1:4">
      <c r="A4559" t="s">
        <v>10428</v>
      </c>
      <c r="B4559">
        <v>36235</v>
      </c>
      <c r="C4559" t="s">
        <v>6330</v>
      </c>
      <c r="D4559" t="s">
        <v>6168</v>
      </c>
    </row>
    <row r="4560" spans="1:4">
      <c r="A4560" t="s">
        <v>10429</v>
      </c>
      <c r="B4560">
        <v>39803</v>
      </c>
      <c r="C4560" t="s">
        <v>6214</v>
      </c>
      <c r="D4560" t="s">
        <v>6168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10430</v>
      </c>
      <c r="B4562">
        <v>30618</v>
      </c>
      <c r="C4562" t="s">
        <v>10431</v>
      </c>
      <c r="D4562" t="s">
        <v>6168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10432</v>
      </c>
      <c r="B4564">
        <v>36234</v>
      </c>
      <c r="C4564" t="s">
        <v>5870</v>
      </c>
      <c r="D4564" t="s">
        <v>6168</v>
      </c>
    </row>
    <row r="4565" spans="1:4">
      <c r="A4565" t="s">
        <v>10433</v>
      </c>
      <c r="B4565">
        <v>42061</v>
      </c>
      <c r="C4565" t="s">
        <v>9462</v>
      </c>
      <c r="D4565" t="s">
        <v>6168</v>
      </c>
    </row>
    <row r="4566" spans="1:4">
      <c r="A4566" t="s">
        <v>10434</v>
      </c>
      <c r="B4566">
        <v>40524</v>
      </c>
      <c r="C4566" t="s">
        <v>10435</v>
      </c>
      <c r="D4566" t="s">
        <v>6168</v>
      </c>
    </row>
    <row r="4567" spans="1:4">
      <c r="A4567" t="s">
        <v>10436</v>
      </c>
      <c r="B4567">
        <v>41177</v>
      </c>
      <c r="C4567" t="s">
        <v>5870</v>
      </c>
      <c r="D4567" t="s">
        <v>6168</v>
      </c>
    </row>
    <row r="4568" spans="1:4">
      <c r="A4568" t="s">
        <v>17066</v>
      </c>
      <c r="B4568">
        <v>44322</v>
      </c>
      <c r="C4568" t="s">
        <v>17067</v>
      </c>
      <c r="D4568" t="s">
        <v>6314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10437</v>
      </c>
      <c r="B4571">
        <v>37851</v>
      </c>
      <c r="C4571" t="s">
        <v>10438</v>
      </c>
      <c r="D4571" t="s">
        <v>6168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10439</v>
      </c>
      <c r="B4573">
        <v>24667</v>
      </c>
      <c r="C4573" t="s">
        <v>6194</v>
      </c>
      <c r="D4573" t="s">
        <v>6168</v>
      </c>
    </row>
    <row r="4574" spans="1:4">
      <c r="A4574" t="s">
        <v>10440</v>
      </c>
      <c r="B4574">
        <v>5189</v>
      </c>
      <c r="D4574" t="s">
        <v>6605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10441</v>
      </c>
      <c r="B4577">
        <v>3089</v>
      </c>
      <c r="C4577" t="s">
        <v>10442</v>
      </c>
      <c r="D4577" t="s">
        <v>6168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10443</v>
      </c>
      <c r="B4579">
        <v>3087</v>
      </c>
      <c r="C4579" t="s">
        <v>2597</v>
      </c>
      <c r="D4579" t="s">
        <v>6168</v>
      </c>
    </row>
    <row r="4580" spans="1:4">
      <c r="A4580" t="s">
        <v>10444</v>
      </c>
      <c r="B4580">
        <v>29366</v>
      </c>
      <c r="C4580" t="s">
        <v>172</v>
      </c>
      <c r="D4580" t="s">
        <v>6245</v>
      </c>
    </row>
    <row r="4581" spans="1:4">
      <c r="A4581" t="s">
        <v>17004</v>
      </c>
      <c r="B4581">
        <v>44265</v>
      </c>
      <c r="C4581" t="s">
        <v>1273</v>
      </c>
      <c r="D4581" t="s">
        <v>123</v>
      </c>
    </row>
    <row r="4582" spans="1:4">
      <c r="A4582" t="s">
        <v>17031</v>
      </c>
      <c r="B4582">
        <v>44287</v>
      </c>
      <c r="C4582" t="s">
        <v>17032</v>
      </c>
      <c r="D4582" t="s">
        <v>6168</v>
      </c>
    </row>
    <row r="4583" spans="1:4">
      <c r="A4583" t="s">
        <v>17033</v>
      </c>
      <c r="B4583">
        <v>44288</v>
      </c>
      <c r="C4583" t="s">
        <v>1273</v>
      </c>
      <c r="D4583" t="s">
        <v>6168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10445</v>
      </c>
      <c r="B4586">
        <v>4497</v>
      </c>
      <c r="C4586" t="s">
        <v>10446</v>
      </c>
      <c r="D4586" t="s">
        <v>6168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10447</v>
      </c>
      <c r="B4588">
        <v>23739</v>
      </c>
      <c r="C4588" t="s">
        <v>6194</v>
      </c>
      <c r="D4588" t="s">
        <v>6168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10448</v>
      </c>
      <c r="B4590">
        <v>36233</v>
      </c>
      <c r="C4590" t="s">
        <v>10449</v>
      </c>
      <c r="D4590" t="s">
        <v>6168</v>
      </c>
    </row>
    <row r="4591" spans="1:4">
      <c r="A4591" t="s">
        <v>10450</v>
      </c>
      <c r="B4591">
        <v>35098</v>
      </c>
      <c r="C4591" t="s">
        <v>10451</v>
      </c>
      <c r="D4591" t="s">
        <v>6267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10452</v>
      </c>
      <c r="B4595">
        <v>40907</v>
      </c>
      <c r="C4595" t="s">
        <v>10453</v>
      </c>
      <c r="D4595" t="s">
        <v>6168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10454</v>
      </c>
      <c r="B4598">
        <v>29530</v>
      </c>
      <c r="C4598" t="s">
        <v>8005</v>
      </c>
      <c r="D4598" t="s">
        <v>6168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10455</v>
      </c>
      <c r="B4601">
        <v>22089</v>
      </c>
      <c r="C4601" t="s">
        <v>10312</v>
      </c>
      <c r="D4601" t="s">
        <v>6168</v>
      </c>
    </row>
    <row r="4602" spans="1:4">
      <c r="A4602" t="s">
        <v>10456</v>
      </c>
      <c r="B4602">
        <v>22090</v>
      </c>
      <c r="C4602" t="s">
        <v>10457</v>
      </c>
      <c r="D4602" t="s">
        <v>6267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10458</v>
      </c>
      <c r="B4604">
        <v>35293</v>
      </c>
      <c r="C4604" t="s">
        <v>7839</v>
      </c>
      <c r="D4604" t="s">
        <v>6168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10459</v>
      </c>
      <c r="B4607">
        <v>24669</v>
      </c>
      <c r="C4607" t="s">
        <v>2659</v>
      </c>
      <c r="D4607" t="s">
        <v>6314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17450</v>
      </c>
      <c r="B4609">
        <v>45740</v>
      </c>
      <c r="C4609" t="s">
        <v>17451</v>
      </c>
      <c r="D4609" t="s">
        <v>6168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10460</v>
      </c>
      <c r="B4611">
        <v>2474</v>
      </c>
      <c r="D4611" t="s">
        <v>6168</v>
      </c>
    </row>
    <row r="4612" spans="1:4">
      <c r="A4612" t="s">
        <v>10461</v>
      </c>
      <c r="B4612">
        <v>2475</v>
      </c>
      <c r="C4612" t="s">
        <v>10825</v>
      </c>
      <c r="D4612" t="s">
        <v>6168</v>
      </c>
    </row>
    <row r="4613" spans="1:4">
      <c r="A4613" t="s">
        <v>17215</v>
      </c>
      <c r="B4613">
        <v>45286</v>
      </c>
      <c r="C4613" t="s">
        <v>15830</v>
      </c>
      <c r="D4613" t="s">
        <v>6168</v>
      </c>
    </row>
    <row r="4614" spans="1:4">
      <c r="A4614" t="s">
        <v>10462</v>
      </c>
      <c r="B4614">
        <v>2476</v>
      </c>
      <c r="C4614" t="s">
        <v>10463</v>
      </c>
      <c r="D4614" t="s">
        <v>6168</v>
      </c>
    </row>
    <row r="4615" spans="1:4">
      <c r="A4615" t="s">
        <v>10464</v>
      </c>
      <c r="B4615">
        <v>2477</v>
      </c>
      <c r="C4615" t="s">
        <v>10465</v>
      </c>
      <c r="D4615" t="s">
        <v>6168</v>
      </c>
    </row>
    <row r="4616" spans="1:4">
      <c r="A4616" t="s">
        <v>10466</v>
      </c>
      <c r="B4616">
        <v>2479</v>
      </c>
      <c r="C4616" t="s">
        <v>10467</v>
      </c>
      <c r="D4616" t="s">
        <v>6168</v>
      </c>
    </row>
    <row r="4617" spans="1:4">
      <c r="A4617" t="s">
        <v>10468</v>
      </c>
      <c r="B4617">
        <v>2478</v>
      </c>
      <c r="C4617" t="s">
        <v>10469</v>
      </c>
      <c r="D4617" t="s">
        <v>6168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10470</v>
      </c>
      <c r="B4619">
        <v>3020</v>
      </c>
      <c r="D4619" t="s">
        <v>6168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10471</v>
      </c>
      <c r="B4621">
        <v>25135</v>
      </c>
      <c r="C4621" t="s">
        <v>10472</v>
      </c>
      <c r="D4621" t="s">
        <v>6168</v>
      </c>
    </row>
    <row r="4622" spans="1:4">
      <c r="A4622" t="s">
        <v>10473</v>
      </c>
      <c r="B4622">
        <v>26341</v>
      </c>
      <c r="C4622" t="s">
        <v>10474</v>
      </c>
      <c r="D4622" t="s">
        <v>6168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10475</v>
      </c>
      <c r="B4627">
        <v>22093</v>
      </c>
      <c r="C4627" t="s">
        <v>10476</v>
      </c>
      <c r="D4627" t="s">
        <v>6168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10477</v>
      </c>
      <c r="B4629">
        <v>35628</v>
      </c>
      <c r="C4629" t="s">
        <v>8468</v>
      </c>
      <c r="D4629" t="s">
        <v>6168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10478</v>
      </c>
      <c r="B4631">
        <v>39578</v>
      </c>
      <c r="D4631" t="s">
        <v>6248</v>
      </c>
    </row>
    <row r="4632" spans="1:4">
      <c r="A4632" t="s">
        <v>10479</v>
      </c>
      <c r="B4632">
        <v>31475</v>
      </c>
      <c r="C4632" t="s">
        <v>7800</v>
      </c>
      <c r="D4632" t="s">
        <v>6168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10480</v>
      </c>
      <c r="B4634">
        <v>19336</v>
      </c>
      <c r="C4634" t="s">
        <v>10481</v>
      </c>
      <c r="D4634" t="s">
        <v>6168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10482</v>
      </c>
      <c r="B4636">
        <v>534</v>
      </c>
      <c r="C4636" t="s">
        <v>7320</v>
      </c>
      <c r="D4636" t="s">
        <v>6168</v>
      </c>
    </row>
    <row r="4637" spans="1:4">
      <c r="A4637" t="s">
        <v>10483</v>
      </c>
      <c r="B4637">
        <v>2437</v>
      </c>
      <c r="C4637" t="s">
        <v>10484</v>
      </c>
      <c r="D4637" t="s">
        <v>6449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10485</v>
      </c>
      <c r="B4639">
        <v>20521</v>
      </c>
      <c r="C4639" t="s">
        <v>9040</v>
      </c>
      <c r="D4639" t="s">
        <v>6168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10486</v>
      </c>
      <c r="B4641">
        <v>41942</v>
      </c>
      <c r="C4641" t="s">
        <v>8772</v>
      </c>
      <c r="D4641" t="s">
        <v>6168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10487</v>
      </c>
      <c r="B4644">
        <v>30671</v>
      </c>
      <c r="C4644" t="s">
        <v>10488</v>
      </c>
      <c r="D4644" t="s">
        <v>6168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10489</v>
      </c>
      <c r="B4646">
        <v>22095</v>
      </c>
      <c r="C4646" t="s">
        <v>9035</v>
      </c>
      <c r="D4646" t="s">
        <v>6168</v>
      </c>
    </row>
    <row r="4647" spans="1:4">
      <c r="A4647" t="s">
        <v>10490</v>
      </c>
      <c r="B4647">
        <v>27355</v>
      </c>
      <c r="D4647" t="s">
        <v>6245</v>
      </c>
    </row>
    <row r="4648" spans="1:4">
      <c r="A4648" t="s">
        <v>10491</v>
      </c>
      <c r="B4648">
        <v>20725</v>
      </c>
      <c r="C4648" t="s">
        <v>186</v>
      </c>
      <c r="D4648" t="s">
        <v>6605</v>
      </c>
    </row>
    <row r="4649" spans="1:4">
      <c r="A4649" t="s">
        <v>10492</v>
      </c>
      <c r="B4649">
        <v>39506</v>
      </c>
      <c r="C4649" t="s">
        <v>1053</v>
      </c>
      <c r="D4649" t="s">
        <v>8049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10493</v>
      </c>
      <c r="B4651">
        <v>39557</v>
      </c>
      <c r="C4651" t="s">
        <v>10494</v>
      </c>
      <c r="D4651" t="s">
        <v>6267</v>
      </c>
    </row>
    <row r="4652" spans="1:4">
      <c r="A4652" t="s">
        <v>10495</v>
      </c>
      <c r="B4652">
        <v>23145</v>
      </c>
      <c r="C4652" t="s">
        <v>10496</v>
      </c>
      <c r="D4652" t="s">
        <v>6243</v>
      </c>
    </row>
    <row r="4653" spans="1:4">
      <c r="A4653" t="s">
        <v>10497</v>
      </c>
      <c r="B4653">
        <v>4599</v>
      </c>
      <c r="C4653" t="s">
        <v>1383</v>
      </c>
      <c r="D4653" t="s">
        <v>6245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10498</v>
      </c>
      <c r="B4655">
        <v>22097</v>
      </c>
      <c r="C4655" t="s">
        <v>991</v>
      </c>
      <c r="D4655" t="s">
        <v>6168</v>
      </c>
    </row>
    <row r="4656" spans="1:4">
      <c r="A4656" t="s">
        <v>10499</v>
      </c>
      <c r="B4656">
        <v>22098</v>
      </c>
      <c r="C4656" t="s">
        <v>1903</v>
      </c>
      <c r="D4656" t="s">
        <v>6168</v>
      </c>
    </row>
    <row r="4657" spans="1:4">
      <c r="A4657" t="s">
        <v>10500</v>
      </c>
      <c r="B4657">
        <v>22099</v>
      </c>
      <c r="C4657" t="s">
        <v>10501</v>
      </c>
      <c r="D4657" t="s">
        <v>6168</v>
      </c>
    </row>
    <row r="4658" spans="1:4">
      <c r="A4658" t="s">
        <v>10502</v>
      </c>
      <c r="B4658">
        <v>22100</v>
      </c>
      <c r="C4658" t="s">
        <v>10501</v>
      </c>
      <c r="D4658" t="s">
        <v>6168</v>
      </c>
    </row>
    <row r="4659" spans="1:4">
      <c r="A4659" t="s">
        <v>10503</v>
      </c>
      <c r="B4659">
        <v>22101</v>
      </c>
      <c r="C4659" t="s">
        <v>10501</v>
      </c>
      <c r="D4659" t="s">
        <v>6168</v>
      </c>
    </row>
    <row r="4660" spans="1:4">
      <c r="A4660" t="s">
        <v>10504</v>
      </c>
      <c r="B4660">
        <v>22102</v>
      </c>
      <c r="C4660" t="s">
        <v>10505</v>
      </c>
      <c r="D4660" t="s">
        <v>6168</v>
      </c>
    </row>
    <row r="4661" spans="1:4">
      <c r="A4661" t="s">
        <v>10506</v>
      </c>
      <c r="B4661">
        <v>22103</v>
      </c>
      <c r="C4661" t="s">
        <v>10507</v>
      </c>
      <c r="D4661" t="s">
        <v>6168</v>
      </c>
    </row>
    <row r="4662" spans="1:4">
      <c r="A4662" t="s">
        <v>10508</v>
      </c>
      <c r="B4662">
        <v>22104</v>
      </c>
      <c r="C4662" t="s">
        <v>432</v>
      </c>
      <c r="D4662" t="s">
        <v>6168</v>
      </c>
    </row>
    <row r="4663" spans="1:4">
      <c r="A4663" t="s">
        <v>10509</v>
      </c>
      <c r="B4663">
        <v>22105</v>
      </c>
      <c r="C4663" t="s">
        <v>991</v>
      </c>
      <c r="D4663" t="s">
        <v>6168</v>
      </c>
    </row>
    <row r="4664" spans="1:4">
      <c r="A4664" t="s">
        <v>10510</v>
      </c>
      <c r="B4664">
        <v>22106</v>
      </c>
      <c r="D4664" t="s">
        <v>6305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10511</v>
      </c>
      <c r="B4666">
        <v>22108</v>
      </c>
      <c r="C4666" t="s">
        <v>10512</v>
      </c>
      <c r="D4666" t="s">
        <v>6168</v>
      </c>
    </row>
    <row r="4667" spans="1:4">
      <c r="A4667" t="s">
        <v>10513</v>
      </c>
      <c r="B4667">
        <v>35409</v>
      </c>
      <c r="D4667" t="s">
        <v>6305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10514</v>
      </c>
      <c r="B4669">
        <v>29242</v>
      </c>
      <c r="C4669" t="s">
        <v>1301</v>
      </c>
      <c r="D4669" t="s">
        <v>6168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10515</v>
      </c>
      <c r="B4671">
        <v>3113</v>
      </c>
      <c r="C4671" t="s">
        <v>10516</v>
      </c>
      <c r="D4671" t="s">
        <v>6168</v>
      </c>
    </row>
    <row r="4672" spans="1:4">
      <c r="A4672" t="s">
        <v>10517</v>
      </c>
      <c r="B4672">
        <v>3039</v>
      </c>
      <c r="C4672" t="s">
        <v>10518</v>
      </c>
      <c r="D4672" t="s">
        <v>6168</v>
      </c>
    </row>
    <row r="4673" spans="1:4">
      <c r="A4673" t="s">
        <v>10519</v>
      </c>
      <c r="B4673">
        <v>31048</v>
      </c>
      <c r="C4673" t="s">
        <v>4950</v>
      </c>
      <c r="D4673" t="s">
        <v>6168</v>
      </c>
    </row>
    <row r="4674" spans="1:4">
      <c r="A4674" t="s">
        <v>10520</v>
      </c>
      <c r="B4674">
        <v>3040</v>
      </c>
      <c r="C4674" t="s">
        <v>10521</v>
      </c>
      <c r="D4674" t="s">
        <v>6168</v>
      </c>
    </row>
    <row r="4675" spans="1:4">
      <c r="A4675" t="s">
        <v>10522</v>
      </c>
      <c r="B4675">
        <v>31513</v>
      </c>
      <c r="C4675" t="s">
        <v>10523</v>
      </c>
      <c r="D4675" t="s">
        <v>6168</v>
      </c>
    </row>
    <row r="4676" spans="1:4">
      <c r="A4676" t="s">
        <v>10524</v>
      </c>
      <c r="B4676">
        <v>19296</v>
      </c>
      <c r="D4676" t="s">
        <v>6168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10525</v>
      </c>
      <c r="B4678">
        <v>22109</v>
      </c>
      <c r="C4678" t="s">
        <v>10526</v>
      </c>
      <c r="D4678" t="s">
        <v>6168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10527</v>
      </c>
      <c r="B4680">
        <v>22110</v>
      </c>
      <c r="C4680" t="s">
        <v>4810</v>
      </c>
      <c r="D4680" t="s">
        <v>6267</v>
      </c>
    </row>
    <row r="4681" spans="1:4">
      <c r="A4681" t="s">
        <v>10528</v>
      </c>
      <c r="B4681">
        <v>22111</v>
      </c>
      <c r="D4681" t="s">
        <v>6314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10529</v>
      </c>
      <c r="B4683">
        <v>2397</v>
      </c>
      <c r="C4683" t="s">
        <v>1607</v>
      </c>
      <c r="D4683" t="s">
        <v>6168</v>
      </c>
    </row>
    <row r="4684" spans="1:4">
      <c r="A4684" t="s">
        <v>10530</v>
      </c>
      <c r="B4684">
        <v>2398</v>
      </c>
      <c r="C4684" t="s">
        <v>10531</v>
      </c>
      <c r="D4684" t="s">
        <v>6168</v>
      </c>
    </row>
    <row r="4685" spans="1:4">
      <c r="A4685" t="s">
        <v>10532</v>
      </c>
      <c r="B4685">
        <v>2399</v>
      </c>
      <c r="C4685" t="s">
        <v>10533</v>
      </c>
      <c r="D4685" t="s">
        <v>6168</v>
      </c>
    </row>
    <row r="4686" spans="1:4">
      <c r="A4686" t="s">
        <v>10534</v>
      </c>
      <c r="B4686">
        <v>2400</v>
      </c>
      <c r="C4686" t="s">
        <v>10535</v>
      </c>
      <c r="D4686" t="s">
        <v>6168</v>
      </c>
    </row>
    <row r="4687" spans="1:4">
      <c r="A4687" t="s">
        <v>10536</v>
      </c>
      <c r="B4687">
        <v>2401</v>
      </c>
      <c r="C4687" t="s">
        <v>10537</v>
      </c>
      <c r="D4687" t="s">
        <v>6168</v>
      </c>
    </row>
    <row r="4688" spans="1:4">
      <c r="A4688" t="s">
        <v>10538</v>
      </c>
      <c r="B4688">
        <v>2402</v>
      </c>
      <c r="C4688" t="s">
        <v>10539</v>
      </c>
      <c r="D4688" t="s">
        <v>6168</v>
      </c>
    </row>
    <row r="4689" spans="1:4">
      <c r="A4689" t="s">
        <v>10540</v>
      </c>
      <c r="B4689">
        <v>2403</v>
      </c>
      <c r="C4689" t="s">
        <v>10541</v>
      </c>
      <c r="D4689" t="s">
        <v>6168</v>
      </c>
    </row>
    <row r="4690" spans="1:4">
      <c r="A4690" t="s">
        <v>10542</v>
      </c>
      <c r="B4690">
        <v>29123</v>
      </c>
      <c r="C4690" t="s">
        <v>2210</v>
      </c>
      <c r="D4690" t="s">
        <v>6168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10543</v>
      </c>
      <c r="B4692">
        <v>22113</v>
      </c>
      <c r="C4692" t="s">
        <v>8314</v>
      </c>
      <c r="D4692" t="s">
        <v>6168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10544</v>
      </c>
      <c r="B4694">
        <v>27328</v>
      </c>
      <c r="C4694" t="s">
        <v>10545</v>
      </c>
      <c r="D4694" t="s">
        <v>6168</v>
      </c>
    </row>
    <row r="4695" spans="1:4">
      <c r="A4695" t="s">
        <v>10546</v>
      </c>
      <c r="B4695">
        <v>19318</v>
      </c>
      <c r="C4695" t="s">
        <v>10547</v>
      </c>
      <c r="D4695" t="s">
        <v>6168</v>
      </c>
    </row>
    <row r="4696" spans="1:4">
      <c r="A4696" t="s">
        <v>10548</v>
      </c>
      <c r="B4696">
        <v>26112</v>
      </c>
      <c r="D4696" t="s">
        <v>6168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10549</v>
      </c>
      <c r="B4698">
        <v>486</v>
      </c>
      <c r="C4698" t="s">
        <v>10550</v>
      </c>
      <c r="D4698" t="s">
        <v>6168</v>
      </c>
    </row>
    <row r="4699" spans="1:4">
      <c r="A4699" t="s">
        <v>10551</v>
      </c>
      <c r="B4699">
        <v>487</v>
      </c>
      <c r="C4699" t="s">
        <v>9379</v>
      </c>
      <c r="D4699" t="s">
        <v>6168</v>
      </c>
    </row>
    <row r="4700" spans="1:4">
      <c r="A4700" t="s">
        <v>10552</v>
      </c>
      <c r="B4700">
        <v>488</v>
      </c>
      <c r="C4700" t="s">
        <v>10553</v>
      </c>
      <c r="D4700" t="s">
        <v>6168</v>
      </c>
    </row>
    <row r="4701" spans="1:4">
      <c r="A4701" t="s">
        <v>10554</v>
      </c>
      <c r="B4701">
        <v>489</v>
      </c>
      <c r="C4701" t="s">
        <v>10555</v>
      </c>
      <c r="D4701" t="s">
        <v>6168</v>
      </c>
    </row>
    <row r="4702" spans="1:4">
      <c r="A4702" t="s">
        <v>10556</v>
      </c>
      <c r="B4702">
        <v>490</v>
      </c>
      <c r="C4702" t="s">
        <v>6519</v>
      </c>
      <c r="D4702" t="s">
        <v>6168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10557</v>
      </c>
      <c r="B4704">
        <v>492</v>
      </c>
      <c r="C4704" t="s">
        <v>10558</v>
      </c>
      <c r="D4704" t="s">
        <v>6168</v>
      </c>
    </row>
    <row r="4705" spans="1:4">
      <c r="A4705" t="s">
        <v>10559</v>
      </c>
      <c r="B4705">
        <v>493</v>
      </c>
      <c r="C4705" t="s">
        <v>6760</v>
      </c>
      <c r="D4705" t="s">
        <v>6168</v>
      </c>
    </row>
    <row r="4706" spans="1:4">
      <c r="A4706" t="s">
        <v>10560</v>
      </c>
      <c r="B4706">
        <v>494</v>
      </c>
      <c r="C4706" t="s">
        <v>7854</v>
      </c>
      <c r="D4706" t="s">
        <v>6168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10561</v>
      </c>
      <c r="B4708">
        <v>30629</v>
      </c>
      <c r="C4708" t="s">
        <v>5107</v>
      </c>
      <c r="D4708" t="s">
        <v>6168</v>
      </c>
    </row>
    <row r="4709" spans="1:4">
      <c r="A4709" t="s">
        <v>10562</v>
      </c>
      <c r="B4709">
        <v>26339</v>
      </c>
      <c r="C4709" t="s">
        <v>1263</v>
      </c>
      <c r="D4709" t="s">
        <v>6245</v>
      </c>
    </row>
    <row r="4710" spans="1:4">
      <c r="A4710" t="s">
        <v>10563</v>
      </c>
      <c r="B4710">
        <v>35381</v>
      </c>
      <c r="C4710" t="s">
        <v>10564</v>
      </c>
      <c r="D4710" t="s">
        <v>6292</v>
      </c>
    </row>
    <row r="4711" spans="1:4">
      <c r="A4711" t="s">
        <v>10565</v>
      </c>
      <c r="B4711">
        <v>36509</v>
      </c>
      <c r="C4711" t="s">
        <v>10566</v>
      </c>
      <c r="D4711" t="s">
        <v>8049</v>
      </c>
    </row>
    <row r="4712" spans="1:4">
      <c r="A4712" t="s">
        <v>10567</v>
      </c>
      <c r="B4712">
        <v>36833</v>
      </c>
      <c r="C4712" t="s">
        <v>10568</v>
      </c>
      <c r="D4712" t="s">
        <v>6314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10569</v>
      </c>
      <c r="B4714">
        <v>29234</v>
      </c>
      <c r="C4714" t="s">
        <v>6194</v>
      </c>
      <c r="D4714" t="s">
        <v>6168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10570</v>
      </c>
      <c r="B4717">
        <v>917</v>
      </c>
      <c r="D4717" t="s">
        <v>6168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10571</v>
      </c>
      <c r="B4719">
        <v>25900</v>
      </c>
      <c r="C4719" t="s">
        <v>10572</v>
      </c>
      <c r="D4719" t="s">
        <v>6168</v>
      </c>
    </row>
    <row r="4720" spans="1:4">
      <c r="A4720" t="s">
        <v>10573</v>
      </c>
      <c r="B4720">
        <v>20530</v>
      </c>
      <c r="C4720" t="s">
        <v>10574</v>
      </c>
      <c r="D4720" t="s">
        <v>6168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10575</v>
      </c>
      <c r="B4722">
        <v>927</v>
      </c>
      <c r="C4722" t="s">
        <v>4950</v>
      </c>
      <c r="D4722" t="s">
        <v>6168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10576</v>
      </c>
      <c r="B4724">
        <v>259</v>
      </c>
      <c r="C4724" t="s">
        <v>9308</v>
      </c>
      <c r="D4724" t="s">
        <v>6168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10577</v>
      </c>
      <c r="B4726">
        <v>20489</v>
      </c>
      <c r="C4726" t="s">
        <v>6617</v>
      </c>
      <c r="D4726" t="s">
        <v>6168</v>
      </c>
    </row>
    <row r="4727" spans="1:4">
      <c r="A4727" t="s">
        <v>10578</v>
      </c>
      <c r="B4727">
        <v>22114</v>
      </c>
      <c r="C4727" t="s">
        <v>10579</v>
      </c>
      <c r="D4727" t="s">
        <v>6168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10580</v>
      </c>
      <c r="B4729">
        <v>24675</v>
      </c>
      <c r="C4729" t="s">
        <v>10581</v>
      </c>
      <c r="D4729" t="s">
        <v>6168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10582</v>
      </c>
      <c r="B4733">
        <v>29665</v>
      </c>
      <c r="C4733" t="s">
        <v>10583</v>
      </c>
      <c r="D4733" t="s">
        <v>6168</v>
      </c>
    </row>
    <row r="4734" spans="1:4">
      <c r="A4734" t="s">
        <v>10584</v>
      </c>
      <c r="B4734">
        <v>39631</v>
      </c>
      <c r="C4734" t="s">
        <v>4950</v>
      </c>
      <c r="D4734" t="s">
        <v>6168</v>
      </c>
    </row>
    <row r="4735" spans="1:4">
      <c r="A4735" t="s">
        <v>10585</v>
      </c>
      <c r="B4735">
        <v>29704</v>
      </c>
      <c r="C4735" t="s">
        <v>4950</v>
      </c>
      <c r="D4735" t="s">
        <v>6168</v>
      </c>
    </row>
    <row r="4736" spans="1:4">
      <c r="A4736" t="s">
        <v>10586</v>
      </c>
      <c r="B4736">
        <v>41665</v>
      </c>
      <c r="C4736" t="s">
        <v>10587</v>
      </c>
      <c r="D4736" t="s">
        <v>6168</v>
      </c>
    </row>
    <row r="4737" spans="1:4">
      <c r="A4737" t="s">
        <v>10588</v>
      </c>
      <c r="B4737">
        <v>38840</v>
      </c>
      <c r="C4737" t="s">
        <v>10589</v>
      </c>
      <c r="D4737" t="s">
        <v>6168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10590</v>
      </c>
      <c r="B4739">
        <v>3214</v>
      </c>
      <c r="C4739" t="s">
        <v>10591</v>
      </c>
      <c r="D4739" t="s">
        <v>6168</v>
      </c>
    </row>
    <row r="4740" spans="1:4">
      <c r="A4740" t="s">
        <v>10592</v>
      </c>
      <c r="B4740">
        <v>24008</v>
      </c>
      <c r="C4740" t="s">
        <v>10593</v>
      </c>
      <c r="D4740" t="s">
        <v>6168</v>
      </c>
    </row>
    <row r="4741" spans="1:4">
      <c r="A4741" t="s">
        <v>10594</v>
      </c>
      <c r="B4741">
        <v>5086</v>
      </c>
      <c r="C4741" t="s">
        <v>6568</v>
      </c>
      <c r="D4741" t="s">
        <v>6168</v>
      </c>
    </row>
    <row r="4742" spans="1:4">
      <c r="A4742" t="s">
        <v>10595</v>
      </c>
      <c r="B4742">
        <v>31208</v>
      </c>
      <c r="C4742" t="s">
        <v>432</v>
      </c>
      <c r="D4742" t="s">
        <v>6168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10596</v>
      </c>
      <c r="B4744">
        <v>29636</v>
      </c>
      <c r="C4744" t="s">
        <v>2369</v>
      </c>
      <c r="D4744" t="s">
        <v>6248</v>
      </c>
    </row>
    <row r="4745" spans="1:4">
      <c r="A4745" t="s">
        <v>10597</v>
      </c>
      <c r="B4745">
        <v>39770</v>
      </c>
      <c r="C4745" t="s">
        <v>10598</v>
      </c>
      <c r="D4745" t="s">
        <v>6168</v>
      </c>
    </row>
    <row r="4746" spans="1:4">
      <c r="A4746" t="s">
        <v>10599</v>
      </c>
      <c r="B4746">
        <v>29718</v>
      </c>
      <c r="C4746" t="s">
        <v>6546</v>
      </c>
      <c r="D4746" t="s">
        <v>6168</v>
      </c>
    </row>
    <row r="4747" spans="1:4">
      <c r="A4747" t="s">
        <v>10600</v>
      </c>
      <c r="B4747">
        <v>29541</v>
      </c>
      <c r="C4747" t="s">
        <v>10598</v>
      </c>
      <c r="D4747" t="s">
        <v>6168</v>
      </c>
    </row>
    <row r="4748" spans="1:4">
      <c r="A4748" t="s">
        <v>10601</v>
      </c>
      <c r="B4748">
        <v>29546</v>
      </c>
      <c r="C4748" t="s">
        <v>6546</v>
      </c>
      <c r="D4748" t="s">
        <v>6168</v>
      </c>
    </row>
    <row r="4749" spans="1:4">
      <c r="A4749" t="s">
        <v>10602</v>
      </c>
      <c r="B4749">
        <v>24158</v>
      </c>
      <c r="C4749" t="s">
        <v>261</v>
      </c>
      <c r="D4749" t="s">
        <v>6245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10603</v>
      </c>
      <c r="B4752">
        <v>29813</v>
      </c>
      <c r="C4752" t="s">
        <v>261</v>
      </c>
      <c r="D4752" t="s">
        <v>6248</v>
      </c>
    </row>
    <row r="4753" spans="1:4">
      <c r="A4753" t="s">
        <v>10604</v>
      </c>
      <c r="B4753">
        <v>29897</v>
      </c>
      <c r="C4753" t="s">
        <v>10605</v>
      </c>
      <c r="D4753" t="s">
        <v>6168</v>
      </c>
    </row>
    <row r="4754" spans="1:4">
      <c r="A4754" t="s">
        <v>10606</v>
      </c>
      <c r="B4754">
        <v>29789</v>
      </c>
      <c r="C4754" t="s">
        <v>10607</v>
      </c>
      <c r="D4754" t="s">
        <v>6248</v>
      </c>
    </row>
    <row r="4755" spans="1:4">
      <c r="A4755" t="s">
        <v>10608</v>
      </c>
      <c r="B4755">
        <v>29891</v>
      </c>
      <c r="C4755" t="s">
        <v>6409</v>
      </c>
      <c r="D4755" t="s">
        <v>6168</v>
      </c>
    </row>
    <row r="4756" spans="1:4">
      <c r="A4756" t="s">
        <v>10609</v>
      </c>
      <c r="B4756">
        <v>29806</v>
      </c>
      <c r="C4756" t="s">
        <v>3524</v>
      </c>
      <c r="D4756" t="s">
        <v>6248</v>
      </c>
    </row>
    <row r="4757" spans="1:4">
      <c r="A4757" t="s">
        <v>10610</v>
      </c>
      <c r="B4757">
        <v>30732</v>
      </c>
      <c r="C4757" t="s">
        <v>10611</v>
      </c>
      <c r="D4757" t="s">
        <v>6168</v>
      </c>
    </row>
    <row r="4758" spans="1:4">
      <c r="A4758" t="s">
        <v>10612</v>
      </c>
      <c r="B4758">
        <v>29900</v>
      </c>
      <c r="C4758" t="s">
        <v>6219</v>
      </c>
      <c r="D4758" t="s">
        <v>6168</v>
      </c>
    </row>
    <row r="4759" spans="1:4">
      <c r="A4759" t="s">
        <v>10613</v>
      </c>
      <c r="B4759">
        <v>29867</v>
      </c>
      <c r="C4759" t="s">
        <v>8468</v>
      </c>
      <c r="D4759" t="s">
        <v>6168</v>
      </c>
    </row>
    <row r="4760" spans="1:4">
      <c r="A4760" t="s">
        <v>10614</v>
      </c>
      <c r="B4760">
        <v>30366</v>
      </c>
      <c r="C4760" t="s">
        <v>3432</v>
      </c>
      <c r="D4760" t="s">
        <v>6248</v>
      </c>
    </row>
    <row r="4761" spans="1:4">
      <c r="A4761" t="s">
        <v>10615</v>
      </c>
      <c r="B4761">
        <v>30673</v>
      </c>
      <c r="C4761" t="s">
        <v>10611</v>
      </c>
      <c r="D4761" t="s">
        <v>6168</v>
      </c>
    </row>
    <row r="4762" spans="1:4">
      <c r="A4762" t="s">
        <v>10616</v>
      </c>
      <c r="B4762">
        <v>29794</v>
      </c>
      <c r="C4762" t="s">
        <v>10617</v>
      </c>
      <c r="D4762" t="s">
        <v>6248</v>
      </c>
    </row>
    <row r="4763" spans="1:4">
      <c r="A4763" t="s">
        <v>10618</v>
      </c>
      <c r="B4763">
        <v>29885</v>
      </c>
      <c r="C4763" t="s">
        <v>6409</v>
      </c>
      <c r="D4763" t="s">
        <v>6168</v>
      </c>
    </row>
    <row r="4764" spans="1:4">
      <c r="A4764" t="s">
        <v>10619</v>
      </c>
      <c r="B4764">
        <v>38786</v>
      </c>
      <c r="C4764" t="s">
        <v>6409</v>
      </c>
      <c r="D4764" t="s">
        <v>6168</v>
      </c>
    </row>
    <row r="4765" spans="1:4">
      <c r="A4765" t="s">
        <v>10620</v>
      </c>
      <c r="B4765">
        <v>38787</v>
      </c>
      <c r="C4765" t="s">
        <v>10621</v>
      </c>
      <c r="D4765" t="s">
        <v>6168</v>
      </c>
    </row>
    <row r="4766" spans="1:4">
      <c r="A4766" t="s">
        <v>16707</v>
      </c>
      <c r="B4766">
        <v>43024</v>
      </c>
      <c r="C4766" t="s">
        <v>6409</v>
      </c>
      <c r="D4766" t="s">
        <v>6168</v>
      </c>
    </row>
    <row r="4767" spans="1:4">
      <c r="A4767" t="s">
        <v>10622</v>
      </c>
      <c r="B4767">
        <v>29774</v>
      </c>
      <c r="C4767" t="s">
        <v>10623</v>
      </c>
      <c r="D4767" t="s">
        <v>6168</v>
      </c>
    </row>
    <row r="4768" spans="1:4">
      <c r="A4768" t="s">
        <v>17068</v>
      </c>
      <c r="B4768">
        <v>44323</v>
      </c>
      <c r="C4768" t="s">
        <v>2434</v>
      </c>
      <c r="D4768" t="s">
        <v>134</v>
      </c>
    </row>
    <row r="4769" spans="1:4">
      <c r="A4769" t="s">
        <v>17123</v>
      </c>
      <c r="B4769">
        <v>44382</v>
      </c>
      <c r="C4769" t="s">
        <v>17124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10624</v>
      </c>
      <c r="B4771">
        <v>36229</v>
      </c>
      <c r="C4771" t="s">
        <v>3329</v>
      </c>
      <c r="D4771" t="s">
        <v>6168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10625</v>
      </c>
      <c r="B4773">
        <v>3788</v>
      </c>
      <c r="C4773" t="s">
        <v>10626</v>
      </c>
      <c r="D4773" t="s">
        <v>6168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10627</v>
      </c>
      <c r="B4776">
        <v>38252</v>
      </c>
      <c r="C4776" t="s">
        <v>10628</v>
      </c>
      <c r="D4776" t="s">
        <v>6449</v>
      </c>
    </row>
    <row r="4777" spans="1:4">
      <c r="A4777" t="s">
        <v>10629</v>
      </c>
      <c r="B4777">
        <v>38253</v>
      </c>
      <c r="C4777" t="s">
        <v>10630</v>
      </c>
      <c r="D4777" t="s">
        <v>6168</v>
      </c>
    </row>
    <row r="4778" spans="1:4">
      <c r="A4778" t="s">
        <v>10631</v>
      </c>
      <c r="B4778">
        <v>25325</v>
      </c>
      <c r="C4778" t="s">
        <v>2597</v>
      </c>
      <c r="D4778" t="s">
        <v>6168</v>
      </c>
    </row>
    <row r="4779" spans="1:4">
      <c r="A4779" t="s">
        <v>10632</v>
      </c>
      <c r="B4779">
        <v>4100</v>
      </c>
      <c r="C4779" t="s">
        <v>8093</v>
      </c>
      <c r="D4779" t="s">
        <v>10633</v>
      </c>
    </row>
    <row r="4780" spans="1:4">
      <c r="A4780" t="s">
        <v>10634</v>
      </c>
      <c r="B4780">
        <v>4101</v>
      </c>
      <c r="D4780" t="s">
        <v>6168</v>
      </c>
    </row>
    <row r="4781" spans="1:4">
      <c r="A4781" t="s">
        <v>10635</v>
      </c>
      <c r="B4781">
        <v>23553</v>
      </c>
      <c r="C4781" t="s">
        <v>264</v>
      </c>
      <c r="D4781" t="s">
        <v>6314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10636</v>
      </c>
      <c r="B4783">
        <v>29648</v>
      </c>
      <c r="C4783" t="s">
        <v>10637</v>
      </c>
      <c r="D4783" t="s">
        <v>6168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10638</v>
      </c>
      <c r="B4786">
        <v>2405</v>
      </c>
      <c r="D4786" t="s">
        <v>6168</v>
      </c>
    </row>
    <row r="4787" spans="1:4">
      <c r="A4787" t="s">
        <v>10639</v>
      </c>
      <c r="B4787">
        <v>2406</v>
      </c>
      <c r="C4787" t="s">
        <v>10640</v>
      </c>
      <c r="D4787" t="s">
        <v>6168</v>
      </c>
    </row>
    <row r="4788" spans="1:4">
      <c r="A4788" t="s">
        <v>10641</v>
      </c>
      <c r="B4788">
        <v>2407</v>
      </c>
      <c r="C4788" t="s">
        <v>10642</v>
      </c>
      <c r="D4788" t="s">
        <v>6168</v>
      </c>
    </row>
    <row r="4789" spans="1:4">
      <c r="A4789" t="s">
        <v>10643</v>
      </c>
      <c r="B4789">
        <v>2408</v>
      </c>
      <c r="C4789" t="s">
        <v>10535</v>
      </c>
      <c r="D4789" t="s">
        <v>6168</v>
      </c>
    </row>
    <row r="4790" spans="1:4">
      <c r="A4790" t="s">
        <v>10644</v>
      </c>
      <c r="B4790">
        <v>2409</v>
      </c>
      <c r="C4790" t="s">
        <v>10645</v>
      </c>
      <c r="D4790" t="s">
        <v>6168</v>
      </c>
    </row>
    <row r="4791" spans="1:4">
      <c r="A4791" t="s">
        <v>10646</v>
      </c>
      <c r="B4791">
        <v>2410</v>
      </c>
      <c r="C4791" t="s">
        <v>10647</v>
      </c>
      <c r="D4791" t="s">
        <v>6168</v>
      </c>
    </row>
    <row r="4792" spans="1:4">
      <c r="A4792" t="s">
        <v>10648</v>
      </c>
      <c r="B4792">
        <v>2411</v>
      </c>
      <c r="C4792" t="s">
        <v>10649</v>
      </c>
      <c r="D4792" t="s">
        <v>6168</v>
      </c>
    </row>
    <row r="4793" spans="1:4">
      <c r="A4793" t="s">
        <v>10650</v>
      </c>
      <c r="B4793">
        <v>2412</v>
      </c>
      <c r="C4793" t="s">
        <v>10651</v>
      </c>
      <c r="D4793" t="s">
        <v>6168</v>
      </c>
    </row>
    <row r="4794" spans="1:4">
      <c r="A4794" t="s">
        <v>10652</v>
      </c>
      <c r="B4794">
        <v>2413</v>
      </c>
      <c r="C4794" t="s">
        <v>10640</v>
      </c>
      <c r="D4794" t="s">
        <v>6168</v>
      </c>
    </row>
    <row r="4795" spans="1:4">
      <c r="A4795" t="s">
        <v>10653</v>
      </c>
      <c r="B4795">
        <v>2414</v>
      </c>
      <c r="C4795" t="s">
        <v>10465</v>
      </c>
      <c r="D4795" t="s">
        <v>6168</v>
      </c>
    </row>
    <row r="4796" spans="1:4">
      <c r="A4796" t="s">
        <v>10654</v>
      </c>
      <c r="B4796">
        <v>2415</v>
      </c>
      <c r="C4796" t="s">
        <v>10655</v>
      </c>
      <c r="D4796" t="s">
        <v>6168</v>
      </c>
    </row>
    <row r="4797" spans="1:4">
      <c r="A4797" t="s">
        <v>10656</v>
      </c>
      <c r="B4797">
        <v>2416</v>
      </c>
      <c r="C4797" t="s">
        <v>8884</v>
      </c>
      <c r="D4797" t="s">
        <v>6168</v>
      </c>
    </row>
    <row r="4798" spans="1:4">
      <c r="A4798" t="s">
        <v>10657</v>
      </c>
      <c r="B4798">
        <v>2417</v>
      </c>
      <c r="C4798" t="s">
        <v>10658</v>
      </c>
      <c r="D4798" t="s">
        <v>6168</v>
      </c>
    </row>
    <row r="4799" spans="1:4">
      <c r="A4799" t="s">
        <v>10659</v>
      </c>
      <c r="B4799">
        <v>2418</v>
      </c>
      <c r="C4799" t="s">
        <v>10660</v>
      </c>
      <c r="D4799" t="s">
        <v>6168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10661</v>
      </c>
      <c r="B4801">
        <v>29780</v>
      </c>
      <c r="C4801" t="s">
        <v>3472</v>
      </c>
      <c r="D4801" t="s">
        <v>6168</v>
      </c>
    </row>
    <row r="4802" spans="1:4">
      <c r="A4802" t="s">
        <v>10662</v>
      </c>
      <c r="B4802">
        <v>29478</v>
      </c>
      <c r="C4802" t="s">
        <v>10663</v>
      </c>
      <c r="D4802" t="s">
        <v>6245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10664</v>
      </c>
      <c r="B4805">
        <v>3823</v>
      </c>
      <c r="C4805" t="s">
        <v>10665</v>
      </c>
      <c r="D4805" t="s">
        <v>6168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10666</v>
      </c>
      <c r="B4809">
        <v>41563</v>
      </c>
      <c r="C4809" t="s">
        <v>4950</v>
      </c>
      <c r="D4809" t="s">
        <v>6168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10667</v>
      </c>
      <c r="B4812">
        <v>30785</v>
      </c>
      <c r="C4812" t="s">
        <v>10668</v>
      </c>
      <c r="D4812" t="s">
        <v>6168</v>
      </c>
    </row>
    <row r="4813" spans="1:4">
      <c r="A4813" t="s">
        <v>10669</v>
      </c>
      <c r="B4813">
        <v>30781</v>
      </c>
      <c r="C4813" t="s">
        <v>6503</v>
      </c>
      <c r="D4813" t="s">
        <v>6168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10670</v>
      </c>
      <c r="B4816">
        <v>34176</v>
      </c>
      <c r="C4816" t="s">
        <v>10671</v>
      </c>
      <c r="D4816" t="s">
        <v>6168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10672</v>
      </c>
      <c r="B4818">
        <v>30348</v>
      </c>
      <c r="C4818" t="s">
        <v>10673</v>
      </c>
      <c r="D4818" t="s">
        <v>6168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17283</v>
      </c>
      <c r="B4820">
        <v>45370</v>
      </c>
      <c r="C4820" t="s">
        <v>6373</v>
      </c>
      <c r="D4820" t="s">
        <v>6168</v>
      </c>
    </row>
    <row r="4821" spans="1:4">
      <c r="A4821" t="s">
        <v>10674</v>
      </c>
      <c r="B4821">
        <v>26336</v>
      </c>
      <c r="C4821" t="s">
        <v>4950</v>
      </c>
      <c r="D4821" t="s">
        <v>6168</v>
      </c>
    </row>
    <row r="4822" spans="1:4">
      <c r="A4822" t="s">
        <v>10675</v>
      </c>
      <c r="B4822">
        <v>24161</v>
      </c>
      <c r="C4822" t="s">
        <v>6851</v>
      </c>
      <c r="D4822" t="s">
        <v>6168</v>
      </c>
    </row>
    <row r="4823" spans="1:4">
      <c r="A4823" t="s">
        <v>10676</v>
      </c>
      <c r="B4823">
        <v>30333</v>
      </c>
      <c r="C4823" t="s">
        <v>10677</v>
      </c>
      <c r="D4823" t="s">
        <v>6168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10678</v>
      </c>
      <c r="B4825">
        <v>39451</v>
      </c>
      <c r="C4825" t="s">
        <v>3034</v>
      </c>
      <c r="D4825" t="s">
        <v>6314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10679</v>
      </c>
      <c r="B4827">
        <v>25475</v>
      </c>
      <c r="C4827" t="s">
        <v>10680</v>
      </c>
      <c r="D4827" t="s">
        <v>6168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10681</v>
      </c>
      <c r="B4830">
        <v>39813</v>
      </c>
      <c r="C4830" t="s">
        <v>5743</v>
      </c>
      <c r="D4830" t="s">
        <v>6305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10682</v>
      </c>
      <c r="B4832">
        <v>40518</v>
      </c>
      <c r="C4832" t="s">
        <v>10683</v>
      </c>
      <c r="D4832" t="s">
        <v>6168</v>
      </c>
    </row>
    <row r="4833" spans="1:4">
      <c r="A4833" t="s">
        <v>10684</v>
      </c>
      <c r="B4833">
        <v>25144</v>
      </c>
      <c r="C4833" t="s">
        <v>3230</v>
      </c>
      <c r="D4833" t="s">
        <v>6168</v>
      </c>
    </row>
    <row r="4834" spans="1:4">
      <c r="A4834" t="s">
        <v>16860</v>
      </c>
      <c r="B4834">
        <v>43918</v>
      </c>
      <c r="C4834" t="s">
        <v>3569</v>
      </c>
      <c r="D4834" t="s">
        <v>123</v>
      </c>
    </row>
    <row r="4835" spans="1:4">
      <c r="A4835" t="s">
        <v>16945</v>
      </c>
      <c r="B4835">
        <v>44013</v>
      </c>
      <c r="C4835" t="s">
        <v>15620</v>
      </c>
      <c r="D4835" t="s">
        <v>6168</v>
      </c>
    </row>
    <row r="4836" spans="1:4">
      <c r="A4836" t="s">
        <v>10685</v>
      </c>
      <c r="B4836">
        <v>43472</v>
      </c>
      <c r="C4836" t="s">
        <v>10686</v>
      </c>
      <c r="D4836" t="s">
        <v>134</v>
      </c>
    </row>
    <row r="4837" spans="1:4">
      <c r="A4837" t="s">
        <v>10687</v>
      </c>
      <c r="B4837">
        <v>26335</v>
      </c>
      <c r="C4837" t="s">
        <v>3461</v>
      </c>
      <c r="D4837" t="s">
        <v>6245</v>
      </c>
    </row>
    <row r="4838" spans="1:4">
      <c r="A4838" t="s">
        <v>10688</v>
      </c>
      <c r="B4838">
        <v>29345</v>
      </c>
      <c r="C4838" t="s">
        <v>3461</v>
      </c>
      <c r="D4838" t="s">
        <v>6230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10689</v>
      </c>
      <c r="B4840">
        <v>34009</v>
      </c>
      <c r="C4840" t="s">
        <v>10690</v>
      </c>
      <c r="D4840" t="s">
        <v>6168</v>
      </c>
    </row>
    <row r="4841" spans="1:4">
      <c r="A4841" t="s">
        <v>10691</v>
      </c>
      <c r="B4841">
        <v>29219</v>
      </c>
      <c r="C4841" t="s">
        <v>6826</v>
      </c>
      <c r="D4841" t="s">
        <v>6168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10692</v>
      </c>
      <c r="B4843">
        <v>29188</v>
      </c>
      <c r="C4843" t="s">
        <v>1197</v>
      </c>
      <c r="D4843" t="s">
        <v>6168</v>
      </c>
    </row>
    <row r="4844" spans="1:4">
      <c r="A4844" t="s">
        <v>10693</v>
      </c>
      <c r="B4844">
        <v>20351</v>
      </c>
      <c r="C4844" t="s">
        <v>10694</v>
      </c>
      <c r="D4844" t="s">
        <v>6245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10695</v>
      </c>
      <c r="B4847">
        <v>19301</v>
      </c>
      <c r="C4847" t="s">
        <v>10696</v>
      </c>
      <c r="D4847" t="s">
        <v>6168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10697</v>
      </c>
      <c r="B4849">
        <v>35738</v>
      </c>
      <c r="D4849" t="s">
        <v>6248</v>
      </c>
    </row>
    <row r="4850" spans="1:4">
      <c r="A4850" t="s">
        <v>10698</v>
      </c>
      <c r="B4850">
        <v>22945</v>
      </c>
      <c r="C4850" t="s">
        <v>5771</v>
      </c>
      <c r="D4850" t="s">
        <v>6168</v>
      </c>
    </row>
    <row r="4851" spans="1:4">
      <c r="A4851" t="s">
        <v>10699</v>
      </c>
      <c r="B4851">
        <v>26332</v>
      </c>
      <c r="C4851" t="s">
        <v>6724</v>
      </c>
      <c r="D4851" t="s">
        <v>6168</v>
      </c>
    </row>
    <row r="4852" spans="1:4">
      <c r="A4852" t="s">
        <v>10700</v>
      </c>
      <c r="B4852">
        <v>30324</v>
      </c>
      <c r="C4852" t="s">
        <v>10701</v>
      </c>
      <c r="D4852" t="s">
        <v>6168</v>
      </c>
    </row>
    <row r="4853" spans="1:4">
      <c r="A4853" t="s">
        <v>10702</v>
      </c>
      <c r="B4853">
        <v>24984</v>
      </c>
      <c r="C4853" t="s">
        <v>5279</v>
      </c>
      <c r="D4853" t="s">
        <v>6168</v>
      </c>
    </row>
    <row r="4854" spans="1:4">
      <c r="A4854" t="s">
        <v>10703</v>
      </c>
      <c r="B4854">
        <v>43473</v>
      </c>
      <c r="C4854" t="s">
        <v>10704</v>
      </c>
      <c r="D4854" t="s">
        <v>6168</v>
      </c>
    </row>
    <row r="4855" spans="1:4">
      <c r="A4855" t="s">
        <v>10705</v>
      </c>
      <c r="B4855">
        <v>26331</v>
      </c>
      <c r="C4855" t="s">
        <v>10706</v>
      </c>
      <c r="D4855" t="s">
        <v>6168</v>
      </c>
    </row>
    <row r="4856" spans="1:4">
      <c r="A4856" t="s">
        <v>10707</v>
      </c>
      <c r="B4856">
        <v>26330</v>
      </c>
      <c r="C4856" t="s">
        <v>10708</v>
      </c>
      <c r="D4856" t="s">
        <v>6168</v>
      </c>
    </row>
    <row r="4857" spans="1:4">
      <c r="A4857" t="s">
        <v>10709</v>
      </c>
      <c r="B4857">
        <v>29195</v>
      </c>
      <c r="C4857" t="s">
        <v>10710</v>
      </c>
      <c r="D4857" t="s">
        <v>6168</v>
      </c>
    </row>
    <row r="4858" spans="1:4">
      <c r="A4858" t="s">
        <v>10711</v>
      </c>
      <c r="B4858">
        <v>30616</v>
      </c>
      <c r="C4858" t="s">
        <v>10366</v>
      </c>
      <c r="D4858" t="s">
        <v>6168</v>
      </c>
    </row>
    <row r="4859" spans="1:4">
      <c r="A4859" t="s">
        <v>10712</v>
      </c>
      <c r="B4859">
        <v>43012</v>
      </c>
      <c r="C4859" t="s">
        <v>10713</v>
      </c>
      <c r="D4859" t="s">
        <v>6168</v>
      </c>
    </row>
    <row r="4860" spans="1:4">
      <c r="A4860" t="s">
        <v>10714</v>
      </c>
      <c r="B4860">
        <v>41181</v>
      </c>
      <c r="C4860" t="s">
        <v>10715</v>
      </c>
      <c r="D4860" t="s">
        <v>6168</v>
      </c>
    </row>
    <row r="4861" spans="1:4">
      <c r="A4861" t="s">
        <v>10716</v>
      </c>
      <c r="B4861">
        <v>22946</v>
      </c>
      <c r="C4861" t="s">
        <v>6219</v>
      </c>
      <c r="D4861" t="s">
        <v>6168</v>
      </c>
    </row>
    <row r="4862" spans="1:4">
      <c r="A4862" t="s">
        <v>10717</v>
      </c>
      <c r="B4862">
        <v>22947</v>
      </c>
      <c r="C4862" t="s">
        <v>10718</v>
      </c>
      <c r="D4862" t="s">
        <v>6168</v>
      </c>
    </row>
    <row r="4863" spans="1:4">
      <c r="A4863" t="s">
        <v>10719</v>
      </c>
      <c r="B4863">
        <v>25476</v>
      </c>
      <c r="C4863" t="s">
        <v>6596</v>
      </c>
      <c r="D4863" t="s">
        <v>6168</v>
      </c>
    </row>
    <row r="4864" spans="1:4">
      <c r="A4864" t="s">
        <v>10720</v>
      </c>
      <c r="B4864">
        <v>27412</v>
      </c>
      <c r="C4864" t="s">
        <v>10721</v>
      </c>
      <c r="D4864" t="s">
        <v>6168</v>
      </c>
    </row>
    <row r="4865" spans="1:4">
      <c r="A4865" t="s">
        <v>10722</v>
      </c>
      <c r="B4865">
        <v>26329</v>
      </c>
      <c r="C4865" t="s">
        <v>10723</v>
      </c>
      <c r="D4865" t="s">
        <v>6168</v>
      </c>
    </row>
    <row r="4866" spans="1:4">
      <c r="A4866" t="s">
        <v>10724</v>
      </c>
      <c r="B4866">
        <v>38779</v>
      </c>
      <c r="C4866" t="s">
        <v>10725</v>
      </c>
      <c r="D4866" t="s">
        <v>6168</v>
      </c>
    </row>
    <row r="4867" spans="1:4">
      <c r="A4867" t="s">
        <v>10726</v>
      </c>
      <c r="B4867">
        <v>30318</v>
      </c>
      <c r="C4867" t="s">
        <v>10727</v>
      </c>
      <c r="D4867" t="s">
        <v>6168</v>
      </c>
    </row>
    <row r="4868" spans="1:4">
      <c r="A4868" t="s">
        <v>10728</v>
      </c>
      <c r="B4868">
        <v>22948</v>
      </c>
      <c r="C4868" t="s">
        <v>10729</v>
      </c>
      <c r="D4868" t="s">
        <v>6168</v>
      </c>
    </row>
    <row r="4869" spans="1:4">
      <c r="A4869" t="s">
        <v>10730</v>
      </c>
      <c r="B4869">
        <v>35234</v>
      </c>
      <c r="C4869" t="s">
        <v>10731</v>
      </c>
      <c r="D4869" t="s">
        <v>6168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10732</v>
      </c>
      <c r="B4871">
        <v>29855</v>
      </c>
      <c r="C4871" t="s">
        <v>10733</v>
      </c>
      <c r="D4871" t="s">
        <v>6168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10734</v>
      </c>
      <c r="B4873">
        <v>23146</v>
      </c>
      <c r="C4873" t="s">
        <v>7862</v>
      </c>
      <c r="D4873" t="s">
        <v>6245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10735</v>
      </c>
      <c r="B4878">
        <v>35090</v>
      </c>
      <c r="C4878" t="s">
        <v>10736</v>
      </c>
      <c r="D4878" t="s">
        <v>6168</v>
      </c>
    </row>
    <row r="4879" spans="1:4">
      <c r="A4879" t="s">
        <v>10737</v>
      </c>
      <c r="B4879">
        <v>30253</v>
      </c>
      <c r="C4879" t="s">
        <v>10736</v>
      </c>
      <c r="D4879" t="s">
        <v>6168</v>
      </c>
    </row>
    <row r="4880" spans="1:4">
      <c r="A4880" t="s">
        <v>10738</v>
      </c>
      <c r="B4880">
        <v>24683</v>
      </c>
      <c r="C4880" t="s">
        <v>10739</v>
      </c>
      <c r="D4880" t="s">
        <v>6168</v>
      </c>
    </row>
    <row r="4881" spans="1:4">
      <c r="A4881" t="s">
        <v>10740</v>
      </c>
      <c r="B4881">
        <v>30319</v>
      </c>
      <c r="C4881" t="s">
        <v>10741</v>
      </c>
      <c r="D4881" t="s">
        <v>6168</v>
      </c>
    </row>
    <row r="4882" spans="1:4">
      <c r="A4882" t="s">
        <v>10742</v>
      </c>
      <c r="B4882">
        <v>30322</v>
      </c>
      <c r="C4882" t="s">
        <v>10743</v>
      </c>
      <c r="D4882" t="s">
        <v>6168</v>
      </c>
    </row>
    <row r="4883" spans="1:4">
      <c r="A4883" t="s">
        <v>10744</v>
      </c>
      <c r="B4883">
        <v>24163</v>
      </c>
      <c r="C4883" t="s">
        <v>3045</v>
      </c>
      <c r="D4883" t="s">
        <v>6168</v>
      </c>
    </row>
    <row r="4884" spans="1:4">
      <c r="A4884" t="s">
        <v>10745</v>
      </c>
      <c r="B4884">
        <v>31369</v>
      </c>
      <c r="C4884" t="s">
        <v>3079</v>
      </c>
      <c r="D4884" t="s">
        <v>6168</v>
      </c>
    </row>
    <row r="4885" spans="1:4">
      <c r="A4885" t="s">
        <v>10746</v>
      </c>
      <c r="B4885">
        <v>35091</v>
      </c>
      <c r="C4885" t="s">
        <v>10736</v>
      </c>
      <c r="D4885" t="s">
        <v>6168</v>
      </c>
    </row>
    <row r="4886" spans="1:4">
      <c r="A4886" t="s">
        <v>10747</v>
      </c>
      <c r="B4886">
        <v>39575</v>
      </c>
      <c r="C4886" t="s">
        <v>7776</v>
      </c>
      <c r="D4886" t="s">
        <v>6267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16932</v>
      </c>
      <c r="B4888">
        <v>44048</v>
      </c>
      <c r="C4888" t="s">
        <v>16933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10748</v>
      </c>
      <c r="B4890">
        <v>31184</v>
      </c>
      <c r="C4890" t="s">
        <v>6219</v>
      </c>
      <c r="D4890" t="s">
        <v>6168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10749</v>
      </c>
      <c r="B4892">
        <v>25411</v>
      </c>
      <c r="C4892" t="s">
        <v>10750</v>
      </c>
      <c r="D4892" t="s">
        <v>6168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10751</v>
      </c>
      <c r="B4895">
        <v>30258</v>
      </c>
      <c r="C4895" t="s">
        <v>10752</v>
      </c>
      <c r="D4895" t="s">
        <v>6168</v>
      </c>
    </row>
    <row r="4896" spans="1:4">
      <c r="A4896" t="s">
        <v>10753</v>
      </c>
      <c r="B4896">
        <v>24985</v>
      </c>
      <c r="C4896" t="s">
        <v>10754</v>
      </c>
      <c r="D4896" t="s">
        <v>6168</v>
      </c>
    </row>
    <row r="4897" spans="1:4">
      <c r="A4897" t="s">
        <v>10755</v>
      </c>
      <c r="B4897">
        <v>35333</v>
      </c>
      <c r="C4897" t="s">
        <v>10754</v>
      </c>
      <c r="D4897" t="s">
        <v>6168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10756</v>
      </c>
      <c r="B4899">
        <v>3026</v>
      </c>
      <c r="D4899" t="s">
        <v>6168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10757</v>
      </c>
      <c r="B4902">
        <v>23747</v>
      </c>
      <c r="C4902" t="s">
        <v>10758</v>
      </c>
      <c r="D4902" t="s">
        <v>6168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10759</v>
      </c>
      <c r="B4904">
        <v>29221</v>
      </c>
      <c r="C4904" t="s">
        <v>6503</v>
      </c>
      <c r="D4904" t="s">
        <v>6168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10760</v>
      </c>
      <c r="B4907">
        <v>2736</v>
      </c>
      <c r="C4907" t="s">
        <v>10761</v>
      </c>
      <c r="D4907" t="s">
        <v>6168</v>
      </c>
    </row>
    <row r="4908" spans="1:4">
      <c r="A4908" t="s">
        <v>10762</v>
      </c>
      <c r="B4908">
        <v>2737</v>
      </c>
      <c r="C4908" t="s">
        <v>10763</v>
      </c>
      <c r="D4908" t="s">
        <v>6168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10764</v>
      </c>
      <c r="B4910">
        <v>24164</v>
      </c>
      <c r="C4910" t="s">
        <v>6689</v>
      </c>
      <c r="D4910" t="s">
        <v>6168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10765</v>
      </c>
      <c r="B4912">
        <v>35638</v>
      </c>
      <c r="C4912" t="s">
        <v>4950</v>
      </c>
      <c r="D4912" t="s">
        <v>6168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17109</v>
      </c>
      <c r="B4914">
        <v>44357</v>
      </c>
      <c r="C4914" t="s">
        <v>11884</v>
      </c>
      <c r="D4914" t="s">
        <v>123</v>
      </c>
    </row>
    <row r="4915" spans="1:4">
      <c r="A4915" t="s">
        <v>17110</v>
      </c>
      <c r="B4915">
        <v>44358</v>
      </c>
      <c r="C4915" t="s">
        <v>17111</v>
      </c>
      <c r="D4915" t="s">
        <v>6168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10766</v>
      </c>
      <c r="B4917">
        <v>22117</v>
      </c>
      <c r="C4917" t="s">
        <v>10312</v>
      </c>
      <c r="D4917" t="s">
        <v>6168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10767</v>
      </c>
      <c r="B4919">
        <v>612</v>
      </c>
      <c r="C4919" t="s">
        <v>10768</v>
      </c>
      <c r="D4919" t="s">
        <v>6168</v>
      </c>
    </row>
    <row r="4920" spans="1:4">
      <c r="A4920" t="s">
        <v>10769</v>
      </c>
      <c r="B4920">
        <v>41949</v>
      </c>
      <c r="C4920" t="s">
        <v>2360</v>
      </c>
      <c r="D4920" t="s">
        <v>6314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10770</v>
      </c>
      <c r="B4922">
        <v>337</v>
      </c>
      <c r="C4922" t="s">
        <v>10771</v>
      </c>
      <c r="D4922" t="s">
        <v>6168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10772</v>
      </c>
      <c r="B4925">
        <v>22119</v>
      </c>
      <c r="C4925" t="s">
        <v>10773</v>
      </c>
      <c r="D4925" t="s">
        <v>6168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10774</v>
      </c>
      <c r="B4928">
        <v>3188</v>
      </c>
      <c r="C4928" t="s">
        <v>10775</v>
      </c>
      <c r="D4928" t="s">
        <v>6168</v>
      </c>
    </row>
    <row r="4929" spans="1:4">
      <c r="A4929" t="s">
        <v>17005</v>
      </c>
      <c r="B4929">
        <v>44266</v>
      </c>
      <c r="C4929" t="s">
        <v>5863</v>
      </c>
      <c r="D4929" t="s">
        <v>123</v>
      </c>
    </row>
    <row r="4930" spans="1:4">
      <c r="A4930" t="s">
        <v>17034</v>
      </c>
      <c r="B4930">
        <v>44289</v>
      </c>
      <c r="C4930" t="s">
        <v>10848</v>
      </c>
      <c r="D4930" t="s">
        <v>6168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10776</v>
      </c>
      <c r="B4932">
        <v>41777</v>
      </c>
      <c r="C4932" t="s">
        <v>6546</v>
      </c>
      <c r="D4932" t="s">
        <v>6168</v>
      </c>
    </row>
    <row r="4933" spans="1:4">
      <c r="A4933" t="s">
        <v>10777</v>
      </c>
      <c r="B4933">
        <v>41564</v>
      </c>
      <c r="C4933" t="s">
        <v>10778</v>
      </c>
      <c r="D4933" t="s">
        <v>6245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10779</v>
      </c>
      <c r="B4936">
        <v>10220</v>
      </c>
      <c r="C4936" t="s">
        <v>14410</v>
      </c>
      <c r="D4936" t="s">
        <v>6168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10780</v>
      </c>
      <c r="B4939">
        <v>32517</v>
      </c>
      <c r="C4939" t="s">
        <v>10781</v>
      </c>
      <c r="D4939" t="s">
        <v>6168</v>
      </c>
    </row>
    <row r="4940" spans="1:4">
      <c r="A4940" t="s">
        <v>10782</v>
      </c>
      <c r="B4940">
        <v>913</v>
      </c>
      <c r="C4940" t="s">
        <v>4950</v>
      </c>
      <c r="D4940" t="s">
        <v>6168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10783</v>
      </c>
      <c r="B4942">
        <v>2534</v>
      </c>
      <c r="C4942" t="s">
        <v>8630</v>
      </c>
      <c r="D4942" t="s">
        <v>6168</v>
      </c>
    </row>
    <row r="4943" spans="1:4">
      <c r="A4943" t="s">
        <v>10784</v>
      </c>
      <c r="B4943">
        <v>2535</v>
      </c>
      <c r="C4943" t="s">
        <v>10785</v>
      </c>
      <c r="D4943" t="s">
        <v>6168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10786</v>
      </c>
      <c r="B4945">
        <v>2585</v>
      </c>
      <c r="C4945" t="s">
        <v>9539</v>
      </c>
      <c r="D4945" t="s">
        <v>6168</v>
      </c>
    </row>
    <row r="4946" spans="1:4">
      <c r="A4946" t="s">
        <v>10787</v>
      </c>
      <c r="B4946">
        <v>2587</v>
      </c>
      <c r="D4946" t="s">
        <v>6168</v>
      </c>
    </row>
    <row r="4947" spans="1:4">
      <c r="A4947" t="s">
        <v>10788</v>
      </c>
      <c r="B4947">
        <v>2588</v>
      </c>
      <c r="D4947" t="s">
        <v>6168</v>
      </c>
    </row>
    <row r="4948" spans="1:4">
      <c r="A4948" t="s">
        <v>10789</v>
      </c>
      <c r="B4948">
        <v>2591</v>
      </c>
      <c r="C4948" t="s">
        <v>9545</v>
      </c>
      <c r="D4948" t="s">
        <v>6168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10790</v>
      </c>
      <c r="B4952">
        <v>23181</v>
      </c>
      <c r="D4952" t="s">
        <v>6230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10791</v>
      </c>
      <c r="B4954">
        <v>3202</v>
      </c>
      <c r="C4954" t="s">
        <v>10792</v>
      </c>
      <c r="D4954" t="s">
        <v>6267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10793</v>
      </c>
      <c r="B4956">
        <v>677</v>
      </c>
      <c r="C4956" t="s">
        <v>6817</v>
      </c>
      <c r="D4956" t="s">
        <v>6168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10794</v>
      </c>
      <c r="B4958">
        <v>23262</v>
      </c>
      <c r="D4958" t="s">
        <v>6872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10795</v>
      </c>
      <c r="B4960">
        <v>915</v>
      </c>
      <c r="C4960" t="s">
        <v>6535</v>
      </c>
      <c r="D4960" t="s">
        <v>6168</v>
      </c>
    </row>
    <row r="4961" spans="1:4">
      <c r="A4961" t="s">
        <v>10796</v>
      </c>
      <c r="B4961">
        <v>32521</v>
      </c>
      <c r="C4961" t="s">
        <v>10797</v>
      </c>
      <c r="D4961" t="s">
        <v>6168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10798</v>
      </c>
      <c r="B4963">
        <v>23749</v>
      </c>
      <c r="C4963" t="s">
        <v>10799</v>
      </c>
      <c r="D4963" t="s">
        <v>6168</v>
      </c>
    </row>
    <row r="4964" spans="1:4">
      <c r="A4964" t="s">
        <v>10800</v>
      </c>
      <c r="B4964">
        <v>34010</v>
      </c>
      <c r="C4964" t="s">
        <v>10799</v>
      </c>
      <c r="D4964" t="s">
        <v>6168</v>
      </c>
    </row>
    <row r="4965" spans="1:4">
      <c r="A4965" t="s">
        <v>10801</v>
      </c>
      <c r="B4965">
        <v>34011</v>
      </c>
      <c r="C4965" t="s">
        <v>10802</v>
      </c>
      <c r="D4965" t="s">
        <v>6168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10803</v>
      </c>
      <c r="B4967">
        <v>26327</v>
      </c>
      <c r="C4967" t="s">
        <v>10251</v>
      </c>
      <c r="D4967" t="s">
        <v>6168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10804</v>
      </c>
      <c r="B4969">
        <v>29772</v>
      </c>
      <c r="C4969" t="s">
        <v>6409</v>
      </c>
      <c r="D4969" t="s">
        <v>6168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10805</v>
      </c>
      <c r="B4971">
        <v>4335</v>
      </c>
      <c r="C4971" t="s">
        <v>192</v>
      </c>
      <c r="D4971" t="s">
        <v>6168</v>
      </c>
    </row>
    <row r="4972" spans="1:4">
      <c r="A4972" t="s">
        <v>10806</v>
      </c>
      <c r="B4972">
        <v>4210</v>
      </c>
      <c r="C4972" t="s">
        <v>10807</v>
      </c>
      <c r="D4972" t="s">
        <v>6168</v>
      </c>
    </row>
    <row r="4973" spans="1:4">
      <c r="A4973" t="s">
        <v>10808</v>
      </c>
      <c r="B4973">
        <v>4336</v>
      </c>
      <c r="C4973" t="s">
        <v>10809</v>
      </c>
      <c r="D4973" t="s">
        <v>6168</v>
      </c>
    </row>
    <row r="4974" spans="1:4">
      <c r="A4974" t="s">
        <v>10810</v>
      </c>
      <c r="B4974">
        <v>708</v>
      </c>
      <c r="C4974" t="s">
        <v>8569</v>
      </c>
      <c r="D4974" t="s">
        <v>6245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10811</v>
      </c>
      <c r="B4976">
        <v>575</v>
      </c>
      <c r="C4976" t="s">
        <v>10812</v>
      </c>
      <c r="D4976" t="s">
        <v>6168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10813</v>
      </c>
      <c r="B4978">
        <v>19377</v>
      </c>
      <c r="C4978" t="s">
        <v>10814</v>
      </c>
      <c r="D4978" t="s">
        <v>6168</v>
      </c>
    </row>
    <row r="4979" spans="1:4">
      <c r="A4979" t="s">
        <v>10815</v>
      </c>
      <c r="B4979">
        <v>19378</v>
      </c>
      <c r="C4979" t="s">
        <v>10816</v>
      </c>
      <c r="D4979" t="s">
        <v>6168</v>
      </c>
    </row>
    <row r="4980" spans="1:4">
      <c r="A4980" t="s">
        <v>10817</v>
      </c>
      <c r="B4980">
        <v>19379</v>
      </c>
      <c r="C4980" t="s">
        <v>10818</v>
      </c>
      <c r="D4980" t="s">
        <v>6168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10819</v>
      </c>
      <c r="B4982">
        <v>29769</v>
      </c>
      <c r="C4982" t="s">
        <v>6914</v>
      </c>
      <c r="D4982" t="s">
        <v>6168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10820</v>
      </c>
      <c r="B4984">
        <v>444</v>
      </c>
      <c r="C4984" t="s">
        <v>10821</v>
      </c>
      <c r="D4984" t="s">
        <v>6168</v>
      </c>
    </row>
    <row r="4985" spans="1:4">
      <c r="A4985" t="s">
        <v>10822</v>
      </c>
      <c r="B4985">
        <v>445</v>
      </c>
      <c r="C4985" t="s">
        <v>10821</v>
      </c>
      <c r="D4985" t="s">
        <v>6168</v>
      </c>
    </row>
    <row r="4986" spans="1:4">
      <c r="A4986" t="s">
        <v>10823</v>
      </c>
      <c r="B4986">
        <v>446</v>
      </c>
      <c r="C4986" t="s">
        <v>8163</v>
      </c>
      <c r="D4986" t="s">
        <v>6168</v>
      </c>
    </row>
    <row r="4987" spans="1:4">
      <c r="A4987" t="s">
        <v>10824</v>
      </c>
      <c r="B4987">
        <v>447</v>
      </c>
      <c r="C4987" t="s">
        <v>10825</v>
      </c>
      <c r="D4987" t="s">
        <v>6168</v>
      </c>
    </row>
    <row r="4988" spans="1:4">
      <c r="A4988" t="s">
        <v>10826</v>
      </c>
      <c r="B4988">
        <v>448</v>
      </c>
      <c r="C4988" t="s">
        <v>6394</v>
      </c>
      <c r="D4988" t="s">
        <v>6168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17216</v>
      </c>
      <c r="B4990">
        <v>45303</v>
      </c>
      <c r="C4990" t="s">
        <v>17217</v>
      </c>
      <c r="D4990" t="s">
        <v>6267</v>
      </c>
    </row>
    <row r="4991" spans="1:4">
      <c r="A4991" t="s">
        <v>10827</v>
      </c>
      <c r="B4991">
        <v>23183</v>
      </c>
      <c r="D4991" t="s">
        <v>6314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10828</v>
      </c>
      <c r="B4994">
        <v>31183</v>
      </c>
      <c r="C4994" t="s">
        <v>8630</v>
      </c>
      <c r="D4994" t="s">
        <v>6168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10829</v>
      </c>
      <c r="B4999">
        <v>2514</v>
      </c>
      <c r="C4999" t="s">
        <v>10469</v>
      </c>
      <c r="D4999" t="s">
        <v>6168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10830</v>
      </c>
      <c r="B5001">
        <v>41566</v>
      </c>
      <c r="C5001" t="s">
        <v>10831</v>
      </c>
      <c r="D5001" t="s">
        <v>6168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10832</v>
      </c>
      <c r="B5003">
        <v>29414</v>
      </c>
      <c r="D5003" t="s">
        <v>6168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10833</v>
      </c>
      <c r="B5005">
        <v>30330</v>
      </c>
      <c r="C5005" t="s">
        <v>1099</v>
      </c>
      <c r="D5005" t="s">
        <v>6267</v>
      </c>
    </row>
    <row r="5006" spans="1:4">
      <c r="A5006" t="s">
        <v>10834</v>
      </c>
      <c r="B5006">
        <v>30574</v>
      </c>
      <c r="D5006" t="s">
        <v>6305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10835</v>
      </c>
      <c r="B5008">
        <v>23750</v>
      </c>
      <c r="C5008" t="s">
        <v>8104</v>
      </c>
      <c r="D5008" t="s">
        <v>6168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10836</v>
      </c>
      <c r="B5010">
        <v>35213</v>
      </c>
      <c r="C5010" t="s">
        <v>10837</v>
      </c>
      <c r="D5010" t="s">
        <v>6168</v>
      </c>
    </row>
    <row r="5011" spans="1:4">
      <c r="A5011" t="s">
        <v>10838</v>
      </c>
      <c r="B5011">
        <v>30854</v>
      </c>
      <c r="C5011" t="s">
        <v>10839</v>
      </c>
      <c r="D5011" t="s">
        <v>6168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10840</v>
      </c>
      <c r="B5014">
        <v>22123</v>
      </c>
      <c r="C5014" t="s">
        <v>804</v>
      </c>
      <c r="D5014" t="s">
        <v>6449</v>
      </c>
    </row>
    <row r="5015" spans="1:4">
      <c r="A5015" t="s">
        <v>10841</v>
      </c>
      <c r="B5015">
        <v>22124</v>
      </c>
      <c r="C5015" t="s">
        <v>10842</v>
      </c>
      <c r="D5015" t="s">
        <v>6168</v>
      </c>
    </row>
    <row r="5016" spans="1:4">
      <c r="A5016" t="s">
        <v>10843</v>
      </c>
      <c r="B5016">
        <v>22125</v>
      </c>
      <c r="C5016" t="s">
        <v>804</v>
      </c>
      <c r="D5016" t="s">
        <v>6168</v>
      </c>
    </row>
    <row r="5017" spans="1:4">
      <c r="A5017" t="s">
        <v>10844</v>
      </c>
      <c r="B5017">
        <v>22126</v>
      </c>
      <c r="C5017" t="s">
        <v>804</v>
      </c>
      <c r="D5017" t="s">
        <v>6168</v>
      </c>
    </row>
    <row r="5018" spans="1:4">
      <c r="A5018" t="s">
        <v>10845</v>
      </c>
      <c r="B5018">
        <v>22127</v>
      </c>
      <c r="C5018" t="s">
        <v>804</v>
      </c>
      <c r="D5018" t="s">
        <v>6168</v>
      </c>
    </row>
    <row r="5019" spans="1:4">
      <c r="A5019" t="s">
        <v>10846</v>
      </c>
      <c r="B5019">
        <v>22128</v>
      </c>
      <c r="C5019" t="s">
        <v>860</v>
      </c>
      <c r="D5019" t="s">
        <v>6267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10847</v>
      </c>
      <c r="B5021">
        <v>43474</v>
      </c>
      <c r="C5021" t="s">
        <v>10848</v>
      </c>
      <c r="D5021" t="s">
        <v>6168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10849</v>
      </c>
      <c r="B5023">
        <v>22130</v>
      </c>
      <c r="C5023" t="s">
        <v>885</v>
      </c>
      <c r="D5023" t="s">
        <v>6168</v>
      </c>
    </row>
    <row r="5024" spans="1:4">
      <c r="A5024" t="s">
        <v>10850</v>
      </c>
      <c r="B5024">
        <v>22131</v>
      </c>
      <c r="C5024" t="s">
        <v>885</v>
      </c>
      <c r="D5024" t="s">
        <v>6168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10851</v>
      </c>
      <c r="B5026">
        <v>29250</v>
      </c>
      <c r="C5026" t="s">
        <v>4950</v>
      </c>
      <c r="D5026" t="s">
        <v>6168</v>
      </c>
    </row>
    <row r="5027" spans="1:4">
      <c r="A5027" t="s">
        <v>10852</v>
      </c>
      <c r="B5027">
        <v>22132</v>
      </c>
      <c r="C5027" t="s">
        <v>467</v>
      </c>
      <c r="D5027" t="s">
        <v>6241</v>
      </c>
    </row>
    <row r="5028" spans="1:4">
      <c r="A5028" t="s">
        <v>10853</v>
      </c>
      <c r="B5028">
        <v>43475</v>
      </c>
      <c r="C5028" t="s">
        <v>4573</v>
      </c>
      <c r="D5028" t="s">
        <v>123</v>
      </c>
    </row>
    <row r="5029" spans="1:4">
      <c r="A5029" t="s">
        <v>16861</v>
      </c>
      <c r="B5029">
        <v>43919</v>
      </c>
      <c r="C5029" t="s">
        <v>4950</v>
      </c>
      <c r="D5029" t="s">
        <v>6168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10854</v>
      </c>
      <c r="B5031">
        <v>34178</v>
      </c>
      <c r="C5031" t="s">
        <v>2924</v>
      </c>
      <c r="D5031" t="s">
        <v>6168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10855</v>
      </c>
      <c r="B5033">
        <v>25331</v>
      </c>
      <c r="C5033" t="s">
        <v>10856</v>
      </c>
      <c r="D5033" t="s">
        <v>6168</v>
      </c>
    </row>
    <row r="5034" spans="1:4">
      <c r="A5034" t="s">
        <v>10857</v>
      </c>
      <c r="B5034">
        <v>4184</v>
      </c>
      <c r="C5034" t="s">
        <v>10858</v>
      </c>
      <c r="D5034" t="s">
        <v>6241</v>
      </c>
    </row>
    <row r="5035" spans="1:4">
      <c r="A5035" t="s">
        <v>10859</v>
      </c>
      <c r="B5035">
        <v>23276</v>
      </c>
      <c r="C5035" t="s">
        <v>10860</v>
      </c>
      <c r="D5035" t="s">
        <v>6230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10861</v>
      </c>
      <c r="B5037">
        <v>24686</v>
      </c>
      <c r="C5037" t="s">
        <v>10862</v>
      </c>
      <c r="D5037" t="s">
        <v>6168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10863</v>
      </c>
      <c r="B5039">
        <v>5234</v>
      </c>
      <c r="C5039" t="s">
        <v>10864</v>
      </c>
      <c r="D5039" t="s">
        <v>6168</v>
      </c>
    </row>
    <row r="5040" spans="1:4">
      <c r="A5040" t="s">
        <v>10865</v>
      </c>
      <c r="B5040">
        <v>39633</v>
      </c>
      <c r="C5040" t="s">
        <v>3918</v>
      </c>
      <c r="D5040" t="s">
        <v>6267</v>
      </c>
    </row>
    <row r="5041" spans="1:4">
      <c r="A5041" t="s">
        <v>10866</v>
      </c>
      <c r="B5041">
        <v>23751</v>
      </c>
      <c r="C5041" t="s">
        <v>3918</v>
      </c>
      <c r="D5041" t="s">
        <v>6305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10867</v>
      </c>
      <c r="B5043">
        <v>29349</v>
      </c>
      <c r="C5043" t="s">
        <v>10868</v>
      </c>
      <c r="D5043" t="s">
        <v>6248</v>
      </c>
    </row>
    <row r="5044" spans="1:4">
      <c r="A5044" t="s">
        <v>10869</v>
      </c>
      <c r="B5044">
        <v>30331</v>
      </c>
      <c r="C5044" t="s">
        <v>10870</v>
      </c>
      <c r="D5044" t="s">
        <v>6168</v>
      </c>
    </row>
    <row r="5045" spans="1:4">
      <c r="A5045" t="s">
        <v>10871</v>
      </c>
      <c r="B5045">
        <v>29593</v>
      </c>
      <c r="C5045" t="s">
        <v>6749</v>
      </c>
      <c r="D5045" t="s">
        <v>6168</v>
      </c>
    </row>
    <row r="5046" spans="1:4">
      <c r="A5046" t="s">
        <v>10872</v>
      </c>
      <c r="B5046">
        <v>26324</v>
      </c>
      <c r="C5046" t="s">
        <v>10873</v>
      </c>
      <c r="D5046" t="s">
        <v>6168</v>
      </c>
    </row>
    <row r="5047" spans="1:4">
      <c r="A5047" t="s">
        <v>10874</v>
      </c>
      <c r="B5047">
        <v>23752</v>
      </c>
      <c r="D5047" t="s">
        <v>6245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10875</v>
      </c>
      <c r="B5049">
        <v>41668</v>
      </c>
      <c r="C5049" t="s">
        <v>8072</v>
      </c>
      <c r="D5049" t="s">
        <v>6168</v>
      </c>
    </row>
    <row r="5050" spans="1:4">
      <c r="A5050" t="s">
        <v>10876</v>
      </c>
      <c r="B5050">
        <v>35753</v>
      </c>
      <c r="C5050" t="s">
        <v>10877</v>
      </c>
      <c r="D5050" t="s">
        <v>6314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10878</v>
      </c>
      <c r="B5052">
        <v>35394</v>
      </c>
      <c r="C5052" t="s">
        <v>10879</v>
      </c>
      <c r="D5052" t="s">
        <v>6168</v>
      </c>
    </row>
    <row r="5053" spans="1:4">
      <c r="A5053" t="s">
        <v>10880</v>
      </c>
      <c r="B5053">
        <v>3155</v>
      </c>
      <c r="D5053" t="s">
        <v>6230</v>
      </c>
    </row>
    <row r="5054" spans="1:4">
      <c r="A5054" t="s">
        <v>10881</v>
      </c>
      <c r="B5054">
        <v>39767</v>
      </c>
      <c r="C5054" t="s">
        <v>10882</v>
      </c>
      <c r="D5054" t="s">
        <v>6241</v>
      </c>
    </row>
    <row r="5055" spans="1:4">
      <c r="A5055" t="s">
        <v>10883</v>
      </c>
      <c r="B5055">
        <v>22133</v>
      </c>
      <c r="C5055" t="s">
        <v>821</v>
      </c>
      <c r="D5055" t="s">
        <v>6245</v>
      </c>
    </row>
    <row r="5056" spans="1:4">
      <c r="A5056" t="s">
        <v>10884</v>
      </c>
      <c r="B5056">
        <v>39721</v>
      </c>
      <c r="C5056" t="s">
        <v>5588</v>
      </c>
      <c r="D5056" t="s">
        <v>6267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10885</v>
      </c>
      <c r="B5058">
        <v>35649</v>
      </c>
      <c r="C5058" t="s">
        <v>10665</v>
      </c>
      <c r="D5058" t="s">
        <v>6168</v>
      </c>
    </row>
    <row r="5059" spans="1:4">
      <c r="A5059" t="s">
        <v>10886</v>
      </c>
      <c r="B5059">
        <v>35648</v>
      </c>
      <c r="C5059" t="s">
        <v>10665</v>
      </c>
      <c r="D5059" t="s">
        <v>6168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10887</v>
      </c>
      <c r="B5061">
        <v>24370</v>
      </c>
      <c r="C5061" t="s">
        <v>5692</v>
      </c>
      <c r="D5061" t="s">
        <v>10888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10889</v>
      </c>
      <c r="B5065">
        <v>43606</v>
      </c>
      <c r="C5065" t="s">
        <v>2061</v>
      </c>
      <c r="D5065" t="s">
        <v>123</v>
      </c>
    </row>
    <row r="5066" spans="1:4">
      <c r="A5066" t="s">
        <v>10890</v>
      </c>
      <c r="B5066">
        <v>43617</v>
      </c>
      <c r="C5066" t="s">
        <v>10891</v>
      </c>
      <c r="D5066" t="s">
        <v>6168</v>
      </c>
    </row>
    <row r="5067" spans="1:4">
      <c r="A5067" t="s">
        <v>10892</v>
      </c>
      <c r="B5067">
        <v>22953</v>
      </c>
      <c r="D5067" t="s">
        <v>6241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10893</v>
      </c>
      <c r="B5071">
        <v>23754</v>
      </c>
      <c r="C5071" t="s">
        <v>10894</v>
      </c>
      <c r="D5071" t="s">
        <v>6248</v>
      </c>
    </row>
    <row r="5072" spans="1:4">
      <c r="A5072" t="s">
        <v>10895</v>
      </c>
      <c r="B5072">
        <v>23600</v>
      </c>
      <c r="C5072" t="s">
        <v>4950</v>
      </c>
      <c r="D5072" t="s">
        <v>6168</v>
      </c>
    </row>
    <row r="5073" spans="1:4">
      <c r="A5073" t="s">
        <v>10896</v>
      </c>
      <c r="B5073">
        <v>25773</v>
      </c>
      <c r="C5073" t="s">
        <v>4950</v>
      </c>
      <c r="D5073" t="s">
        <v>6168</v>
      </c>
    </row>
    <row r="5074" spans="1:4">
      <c r="A5074" t="s">
        <v>10897</v>
      </c>
      <c r="B5074">
        <v>5210</v>
      </c>
      <c r="D5074" t="s">
        <v>7283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10898</v>
      </c>
      <c r="B5076">
        <v>31895</v>
      </c>
      <c r="D5076" t="s">
        <v>6267</v>
      </c>
    </row>
    <row r="5077" spans="1:4">
      <c r="A5077" t="s">
        <v>10899</v>
      </c>
      <c r="B5077">
        <v>20358</v>
      </c>
      <c r="D5077" t="s">
        <v>6305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10900</v>
      </c>
      <c r="B5079">
        <v>29488</v>
      </c>
      <c r="C5079" t="s">
        <v>6219</v>
      </c>
      <c r="D5079" t="s">
        <v>6168</v>
      </c>
    </row>
    <row r="5080" spans="1:4">
      <c r="A5080" t="s">
        <v>10901</v>
      </c>
      <c r="B5080">
        <v>29523</v>
      </c>
      <c r="C5080" t="s">
        <v>6219</v>
      </c>
      <c r="D5080" t="s">
        <v>6168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10902</v>
      </c>
      <c r="B5082">
        <v>25478</v>
      </c>
      <c r="C5082" t="s">
        <v>6752</v>
      </c>
      <c r="D5082" t="s">
        <v>6314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10903</v>
      </c>
      <c r="B5084">
        <v>34179</v>
      </c>
      <c r="C5084" t="s">
        <v>10904</v>
      </c>
      <c r="D5084" t="s">
        <v>6168</v>
      </c>
    </row>
    <row r="5085" spans="1:4">
      <c r="A5085" t="s">
        <v>10905</v>
      </c>
      <c r="B5085">
        <v>42190</v>
      </c>
      <c r="C5085" t="s">
        <v>5127</v>
      </c>
      <c r="D5085" t="s">
        <v>6168</v>
      </c>
    </row>
    <row r="5086" spans="1:4">
      <c r="A5086" t="s">
        <v>10906</v>
      </c>
      <c r="B5086">
        <v>42969</v>
      </c>
      <c r="C5086" t="s">
        <v>10907</v>
      </c>
      <c r="D5086" t="s">
        <v>6314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10908</v>
      </c>
      <c r="B5088">
        <v>22135</v>
      </c>
      <c r="C5088" t="s">
        <v>10909</v>
      </c>
      <c r="D5088" t="s">
        <v>6168</v>
      </c>
    </row>
    <row r="5089" spans="1:4">
      <c r="A5089" t="s">
        <v>10910</v>
      </c>
      <c r="B5089">
        <v>22136</v>
      </c>
      <c r="C5089" t="s">
        <v>10151</v>
      </c>
      <c r="D5089" t="s">
        <v>6168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10911</v>
      </c>
      <c r="B5092">
        <v>25795</v>
      </c>
      <c r="D5092" t="s">
        <v>6168</v>
      </c>
    </row>
    <row r="5093" spans="1:4">
      <c r="A5093" t="s">
        <v>10912</v>
      </c>
      <c r="B5093">
        <v>1021</v>
      </c>
      <c r="C5093" t="s">
        <v>4950</v>
      </c>
      <c r="D5093" t="s">
        <v>6168</v>
      </c>
    </row>
    <row r="5094" spans="1:4">
      <c r="A5094" t="s">
        <v>10913</v>
      </c>
      <c r="B5094">
        <v>24688</v>
      </c>
      <c r="C5094" t="s">
        <v>692</v>
      </c>
      <c r="D5094" t="s">
        <v>6314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10914</v>
      </c>
      <c r="B5096">
        <v>3859</v>
      </c>
      <c r="C5096" t="s">
        <v>10915</v>
      </c>
      <c r="D5096" t="s">
        <v>6168</v>
      </c>
    </row>
    <row r="5097" spans="1:4">
      <c r="A5097" t="s">
        <v>10916</v>
      </c>
      <c r="B5097">
        <v>3861</v>
      </c>
      <c r="C5097" t="s">
        <v>10917</v>
      </c>
      <c r="D5097" t="s">
        <v>6168</v>
      </c>
    </row>
    <row r="5098" spans="1:4">
      <c r="A5098" t="s">
        <v>10918</v>
      </c>
      <c r="B5098">
        <v>3855</v>
      </c>
      <c r="C5098" t="s">
        <v>409</v>
      </c>
      <c r="D5098" t="s">
        <v>6168</v>
      </c>
    </row>
    <row r="5099" spans="1:4">
      <c r="A5099" t="s">
        <v>10919</v>
      </c>
      <c r="B5099">
        <v>3857</v>
      </c>
      <c r="C5099" t="s">
        <v>10920</v>
      </c>
      <c r="D5099" t="s">
        <v>6168</v>
      </c>
    </row>
    <row r="5100" spans="1:4">
      <c r="A5100" t="s">
        <v>10921</v>
      </c>
      <c r="B5100">
        <v>3860</v>
      </c>
      <c r="C5100" t="s">
        <v>10922</v>
      </c>
      <c r="D5100" t="s">
        <v>6168</v>
      </c>
    </row>
    <row r="5101" spans="1:4">
      <c r="A5101" t="s">
        <v>10923</v>
      </c>
      <c r="B5101">
        <v>3858</v>
      </c>
      <c r="C5101" t="s">
        <v>10924</v>
      </c>
      <c r="D5101" t="s">
        <v>6168</v>
      </c>
    </row>
    <row r="5102" spans="1:4">
      <c r="A5102" t="s">
        <v>10925</v>
      </c>
      <c r="B5102">
        <v>30720</v>
      </c>
      <c r="C5102" t="s">
        <v>1466</v>
      </c>
      <c r="D5102" t="s">
        <v>6168</v>
      </c>
    </row>
    <row r="5103" spans="1:4">
      <c r="A5103" t="s">
        <v>10926</v>
      </c>
      <c r="B5103">
        <v>3856</v>
      </c>
      <c r="C5103" t="s">
        <v>148</v>
      </c>
      <c r="D5103" t="s">
        <v>6168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10927</v>
      </c>
      <c r="B5107">
        <v>24986</v>
      </c>
      <c r="C5107" t="s">
        <v>6974</v>
      </c>
      <c r="D5107" t="s">
        <v>6168</v>
      </c>
    </row>
    <row r="5108" spans="1:4">
      <c r="A5108" t="s">
        <v>10928</v>
      </c>
      <c r="B5108">
        <v>30325</v>
      </c>
      <c r="C5108" t="s">
        <v>10929</v>
      </c>
      <c r="D5108" t="s">
        <v>6168</v>
      </c>
    </row>
    <row r="5109" spans="1:4">
      <c r="A5109" t="s">
        <v>10930</v>
      </c>
      <c r="B5109">
        <v>30291</v>
      </c>
      <c r="C5109" t="s">
        <v>10931</v>
      </c>
      <c r="D5109" t="s">
        <v>6168</v>
      </c>
    </row>
    <row r="5110" spans="1:4">
      <c r="A5110" t="s">
        <v>10932</v>
      </c>
      <c r="B5110">
        <v>24987</v>
      </c>
      <c r="C5110" t="s">
        <v>1215</v>
      </c>
      <c r="D5110" t="s">
        <v>6168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10933</v>
      </c>
      <c r="B5113">
        <v>22139</v>
      </c>
      <c r="C5113" t="s">
        <v>9035</v>
      </c>
      <c r="D5113" t="s">
        <v>6168</v>
      </c>
    </row>
    <row r="5114" spans="1:4">
      <c r="A5114" t="s">
        <v>5774</v>
      </c>
      <c r="B5114">
        <v>40516</v>
      </c>
      <c r="C5114" t="s">
        <v>10935</v>
      </c>
      <c r="D5114" t="s">
        <v>123</v>
      </c>
    </row>
    <row r="5115" spans="1:4">
      <c r="A5115" t="s">
        <v>10934</v>
      </c>
      <c r="B5115">
        <v>40906</v>
      </c>
      <c r="C5115" t="s">
        <v>10935</v>
      </c>
      <c r="D5115" t="s">
        <v>6168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10936</v>
      </c>
      <c r="B5117">
        <v>24690</v>
      </c>
      <c r="C5117" t="s">
        <v>4950</v>
      </c>
      <c r="D5117" t="s">
        <v>6168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10937</v>
      </c>
      <c r="B5119">
        <v>30607</v>
      </c>
      <c r="C5119" t="s">
        <v>4409</v>
      </c>
      <c r="D5119" t="s">
        <v>6314</v>
      </c>
    </row>
    <row r="5120" spans="1:4">
      <c r="A5120" t="s">
        <v>10938</v>
      </c>
      <c r="B5120">
        <v>30321</v>
      </c>
      <c r="C5120" t="s">
        <v>10939</v>
      </c>
      <c r="D5120" t="s">
        <v>9775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10940</v>
      </c>
      <c r="B5122">
        <v>907</v>
      </c>
      <c r="D5122" t="s">
        <v>6241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10941</v>
      </c>
      <c r="B5124">
        <v>925</v>
      </c>
      <c r="C5124" t="s">
        <v>1273</v>
      </c>
      <c r="D5124" t="s">
        <v>6168</v>
      </c>
    </row>
    <row r="5125" spans="1:4">
      <c r="A5125" t="s">
        <v>10942</v>
      </c>
      <c r="B5125">
        <v>29552</v>
      </c>
      <c r="C5125" t="s">
        <v>4556</v>
      </c>
      <c r="D5125" t="s">
        <v>6230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10943</v>
      </c>
      <c r="B5127">
        <v>2318</v>
      </c>
      <c r="C5127" t="s">
        <v>6821</v>
      </c>
      <c r="D5127" t="s">
        <v>6168</v>
      </c>
    </row>
    <row r="5128" spans="1:4">
      <c r="A5128" t="s">
        <v>10944</v>
      </c>
      <c r="B5128">
        <v>2319</v>
      </c>
      <c r="C5128" t="s">
        <v>10945</v>
      </c>
      <c r="D5128" t="s">
        <v>6168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10946</v>
      </c>
      <c r="B5131">
        <v>35133</v>
      </c>
      <c r="C5131" t="s">
        <v>10947</v>
      </c>
      <c r="D5131" t="s">
        <v>6248</v>
      </c>
    </row>
    <row r="5132" spans="1:4">
      <c r="A5132" t="s">
        <v>10948</v>
      </c>
      <c r="B5132">
        <v>35705</v>
      </c>
      <c r="C5132" t="s">
        <v>2618</v>
      </c>
      <c r="D5132" t="s">
        <v>6168</v>
      </c>
    </row>
    <row r="5133" spans="1:4">
      <c r="A5133" t="s">
        <v>16862</v>
      </c>
      <c r="B5133">
        <v>43923</v>
      </c>
      <c r="C5133" t="s">
        <v>16863</v>
      </c>
      <c r="D5133" t="s">
        <v>6168</v>
      </c>
    </row>
    <row r="5134" spans="1:4">
      <c r="A5134" t="s">
        <v>10949</v>
      </c>
      <c r="B5134">
        <v>35134</v>
      </c>
      <c r="C5134" t="s">
        <v>10950</v>
      </c>
      <c r="D5134" t="s">
        <v>6248</v>
      </c>
    </row>
    <row r="5135" spans="1:4">
      <c r="A5135" t="s">
        <v>10951</v>
      </c>
      <c r="B5135">
        <v>35430</v>
      </c>
      <c r="C5135" t="s">
        <v>10952</v>
      </c>
      <c r="D5135" t="s">
        <v>6168</v>
      </c>
    </row>
    <row r="5136" spans="1:4">
      <c r="A5136" t="s">
        <v>10953</v>
      </c>
      <c r="B5136">
        <v>41570</v>
      </c>
      <c r="C5136" t="s">
        <v>4573</v>
      </c>
      <c r="D5136" t="s">
        <v>6248</v>
      </c>
    </row>
    <row r="5137" spans="1:4">
      <c r="A5137" t="s">
        <v>10954</v>
      </c>
      <c r="B5137">
        <v>41672</v>
      </c>
      <c r="C5137" t="s">
        <v>10955</v>
      </c>
      <c r="D5137" t="s">
        <v>6168</v>
      </c>
    </row>
    <row r="5138" spans="1:4">
      <c r="A5138" t="s">
        <v>10956</v>
      </c>
      <c r="B5138">
        <v>30675</v>
      </c>
      <c r="C5138" t="s">
        <v>10957</v>
      </c>
      <c r="D5138" t="s">
        <v>6248</v>
      </c>
    </row>
    <row r="5139" spans="1:4">
      <c r="A5139" t="s">
        <v>10958</v>
      </c>
      <c r="B5139">
        <v>30789</v>
      </c>
      <c r="C5139" t="s">
        <v>9671</v>
      </c>
      <c r="D5139" t="s">
        <v>6168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10959</v>
      </c>
      <c r="B5141">
        <v>22954</v>
      </c>
      <c r="C5141" t="s">
        <v>10960</v>
      </c>
      <c r="D5141" t="s">
        <v>6605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10961</v>
      </c>
      <c r="B5143">
        <v>3951</v>
      </c>
      <c r="C5143" t="s">
        <v>4950</v>
      </c>
      <c r="D5143" t="s">
        <v>6168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10962</v>
      </c>
      <c r="B5145">
        <v>31467</v>
      </c>
      <c r="C5145" t="s">
        <v>6409</v>
      </c>
      <c r="D5145" t="s">
        <v>6168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10963</v>
      </c>
      <c r="B5147">
        <v>22141</v>
      </c>
      <c r="C5147" t="s">
        <v>10964</v>
      </c>
      <c r="D5147" t="s">
        <v>6168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16816</v>
      </c>
      <c r="B5149">
        <v>43860</v>
      </c>
      <c r="C5149" t="s">
        <v>7124</v>
      </c>
      <c r="D5149" t="s">
        <v>6168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10965</v>
      </c>
      <c r="B5151">
        <v>20531</v>
      </c>
      <c r="C5151" t="s">
        <v>10966</v>
      </c>
      <c r="D5151" t="s">
        <v>6168</v>
      </c>
    </row>
    <row r="5152" spans="1:4">
      <c r="A5152" t="s">
        <v>10967</v>
      </c>
      <c r="B5152">
        <v>20377</v>
      </c>
      <c r="C5152" t="s">
        <v>10968</v>
      </c>
      <c r="D5152" t="s">
        <v>6230</v>
      </c>
    </row>
    <row r="5153" spans="1:4">
      <c r="A5153" t="s">
        <v>10969</v>
      </c>
      <c r="B5153">
        <v>4365</v>
      </c>
      <c r="C5153" t="s">
        <v>9786</v>
      </c>
      <c r="D5153" t="s">
        <v>6243</v>
      </c>
    </row>
    <row r="5154" spans="1:4">
      <c r="A5154" t="s">
        <v>10970</v>
      </c>
      <c r="B5154">
        <v>25479</v>
      </c>
      <c r="D5154" t="s">
        <v>6241</v>
      </c>
    </row>
    <row r="5155" spans="1:4">
      <c r="A5155" t="s">
        <v>10971</v>
      </c>
      <c r="B5155">
        <v>23758</v>
      </c>
      <c r="D5155" t="s">
        <v>6241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10972</v>
      </c>
      <c r="B5158">
        <v>36225</v>
      </c>
      <c r="C5158" t="s">
        <v>5503</v>
      </c>
      <c r="D5158" t="s">
        <v>6168</v>
      </c>
    </row>
    <row r="5159" spans="1:4">
      <c r="A5159" t="s">
        <v>10973</v>
      </c>
      <c r="B5159">
        <v>3169</v>
      </c>
      <c r="D5159" t="s">
        <v>6305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10974</v>
      </c>
      <c r="B5162">
        <v>23602</v>
      </c>
      <c r="C5162" t="s">
        <v>10975</v>
      </c>
      <c r="D5162" t="s">
        <v>6168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10976</v>
      </c>
      <c r="B5164">
        <v>19337</v>
      </c>
      <c r="D5164" t="s">
        <v>6168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10977</v>
      </c>
      <c r="B5167">
        <v>25149</v>
      </c>
      <c r="C5167" t="s">
        <v>6194</v>
      </c>
      <c r="D5167" t="s">
        <v>6168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10978</v>
      </c>
      <c r="B5169">
        <v>41184</v>
      </c>
      <c r="C5169" t="s">
        <v>5399</v>
      </c>
      <c r="D5169" t="s">
        <v>6168</v>
      </c>
    </row>
    <row r="5170" spans="1:4">
      <c r="A5170" t="s">
        <v>16864</v>
      </c>
      <c r="B5170">
        <v>43924</v>
      </c>
      <c r="C5170" t="s">
        <v>10384</v>
      </c>
      <c r="D5170" t="s">
        <v>6168</v>
      </c>
    </row>
    <row r="5171" spans="1:4">
      <c r="A5171" t="s">
        <v>10979</v>
      </c>
      <c r="B5171">
        <v>24363</v>
      </c>
      <c r="C5171" t="s">
        <v>10980</v>
      </c>
      <c r="D5171" t="s">
        <v>6168</v>
      </c>
    </row>
    <row r="5172" spans="1:4">
      <c r="A5172" t="s">
        <v>10981</v>
      </c>
      <c r="B5172">
        <v>34016</v>
      </c>
      <c r="C5172" t="s">
        <v>6643</v>
      </c>
      <c r="D5172" t="s">
        <v>6168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10982</v>
      </c>
      <c r="B5177">
        <v>22143</v>
      </c>
      <c r="C5177" t="s">
        <v>8360</v>
      </c>
      <c r="D5177" t="s">
        <v>6168</v>
      </c>
    </row>
    <row r="5178" spans="1:4">
      <c r="A5178" t="s">
        <v>10983</v>
      </c>
      <c r="B5178">
        <v>39570</v>
      </c>
      <c r="C5178" t="s">
        <v>3037</v>
      </c>
      <c r="D5178" t="s">
        <v>6267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10984</v>
      </c>
      <c r="B5180">
        <v>3101</v>
      </c>
      <c r="C5180" t="s">
        <v>10985</v>
      </c>
      <c r="D5180" t="s">
        <v>6168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10986</v>
      </c>
      <c r="B5182">
        <v>25150</v>
      </c>
      <c r="C5182" t="s">
        <v>7043</v>
      </c>
      <c r="D5182" t="s">
        <v>6168</v>
      </c>
    </row>
    <row r="5183" spans="1:4">
      <c r="A5183" t="s">
        <v>10987</v>
      </c>
      <c r="B5183">
        <v>25151</v>
      </c>
      <c r="C5183" t="s">
        <v>8434</v>
      </c>
      <c r="D5183" t="s">
        <v>6168</v>
      </c>
    </row>
    <row r="5184" spans="1:4">
      <c r="A5184" t="s">
        <v>10988</v>
      </c>
      <c r="B5184">
        <v>39496</v>
      </c>
      <c r="C5184" t="s">
        <v>10989</v>
      </c>
      <c r="D5184" t="s">
        <v>6267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10990</v>
      </c>
      <c r="B5186">
        <v>3993</v>
      </c>
      <c r="C5186" t="s">
        <v>4950</v>
      </c>
      <c r="D5186" t="s">
        <v>6168</v>
      </c>
    </row>
    <row r="5187" spans="1:4">
      <c r="A5187" t="s">
        <v>10991</v>
      </c>
      <c r="B5187">
        <v>3992</v>
      </c>
      <c r="C5187" t="s">
        <v>409</v>
      </c>
      <c r="D5187" t="s">
        <v>6168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10992</v>
      </c>
      <c r="B5189">
        <v>4453</v>
      </c>
      <c r="C5189" t="s">
        <v>3474</v>
      </c>
      <c r="D5189" t="s">
        <v>6168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10993</v>
      </c>
      <c r="B5191">
        <v>20712</v>
      </c>
      <c r="C5191" t="s">
        <v>7598</v>
      </c>
      <c r="D5191" t="s">
        <v>6305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10994</v>
      </c>
      <c r="B5193">
        <v>22144</v>
      </c>
      <c r="C5193" t="s">
        <v>10995</v>
      </c>
      <c r="D5193" t="s">
        <v>6168</v>
      </c>
    </row>
    <row r="5194" spans="1:4">
      <c r="A5194" t="s">
        <v>10996</v>
      </c>
      <c r="B5194">
        <v>2509</v>
      </c>
      <c r="C5194" t="s">
        <v>8884</v>
      </c>
      <c r="D5194" t="s">
        <v>6168</v>
      </c>
    </row>
    <row r="5195" spans="1:4">
      <c r="A5195" t="s">
        <v>10997</v>
      </c>
      <c r="B5195">
        <v>22145</v>
      </c>
      <c r="C5195" t="s">
        <v>10995</v>
      </c>
      <c r="D5195" t="s">
        <v>6168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10998</v>
      </c>
      <c r="B5197">
        <v>22147</v>
      </c>
      <c r="C5197" t="s">
        <v>10999</v>
      </c>
      <c r="D5197" t="s">
        <v>6168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11000</v>
      </c>
      <c r="B5199">
        <v>5224</v>
      </c>
      <c r="C5199" t="s">
        <v>11001</v>
      </c>
      <c r="D5199" t="s">
        <v>6168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11002</v>
      </c>
      <c r="B5201">
        <v>36224</v>
      </c>
      <c r="C5201" t="s">
        <v>6546</v>
      </c>
      <c r="D5201" t="s">
        <v>6168</v>
      </c>
    </row>
    <row r="5202" spans="1:4">
      <c r="A5202" t="s">
        <v>11003</v>
      </c>
      <c r="B5202">
        <v>36223</v>
      </c>
      <c r="C5202" t="s">
        <v>6330</v>
      </c>
      <c r="D5202" t="s">
        <v>6168</v>
      </c>
    </row>
    <row r="5203" spans="1:4">
      <c r="A5203" t="s">
        <v>11004</v>
      </c>
      <c r="B5203">
        <v>42064</v>
      </c>
      <c r="C5203" t="s">
        <v>6214</v>
      </c>
      <c r="D5203" t="s">
        <v>6168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11005</v>
      </c>
      <c r="B5205">
        <v>906</v>
      </c>
      <c r="D5205" t="s">
        <v>6245</v>
      </c>
    </row>
    <row r="5206" spans="1:4">
      <c r="A5206" t="s">
        <v>11006</v>
      </c>
      <c r="B5206">
        <v>41778</v>
      </c>
      <c r="D5206" t="s">
        <v>6230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11007</v>
      </c>
      <c r="B5208">
        <v>23211</v>
      </c>
      <c r="C5208" t="s">
        <v>16678</v>
      </c>
      <c r="D5208" t="s">
        <v>6168</v>
      </c>
    </row>
    <row r="5209" spans="1:4">
      <c r="A5209" t="s">
        <v>11008</v>
      </c>
      <c r="B5209">
        <v>32562</v>
      </c>
      <c r="C5209" t="s">
        <v>11009</v>
      </c>
      <c r="D5209" t="s">
        <v>6168</v>
      </c>
    </row>
    <row r="5210" spans="1:4">
      <c r="A5210" t="s">
        <v>11010</v>
      </c>
      <c r="B5210">
        <v>32561</v>
      </c>
      <c r="C5210" t="s">
        <v>11011</v>
      </c>
      <c r="D5210" t="s">
        <v>6168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11012</v>
      </c>
      <c r="B5212">
        <v>25722</v>
      </c>
      <c r="D5212" t="s">
        <v>6230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11013</v>
      </c>
      <c r="B5214">
        <v>32525</v>
      </c>
      <c r="C5214" t="s">
        <v>11014</v>
      </c>
      <c r="D5214" t="s">
        <v>6168</v>
      </c>
    </row>
    <row r="5215" spans="1:4">
      <c r="A5215" t="s">
        <v>11015</v>
      </c>
      <c r="B5215">
        <v>31896</v>
      </c>
      <c r="C5215" t="s">
        <v>11016</v>
      </c>
      <c r="D5215" t="s">
        <v>6168</v>
      </c>
    </row>
    <row r="5216" spans="1:4">
      <c r="A5216" t="s">
        <v>11017</v>
      </c>
      <c r="B5216">
        <v>31846</v>
      </c>
      <c r="C5216" t="s">
        <v>11018</v>
      </c>
      <c r="D5216" t="s">
        <v>6168</v>
      </c>
    </row>
    <row r="5217" spans="1:4">
      <c r="A5217" t="s">
        <v>11019</v>
      </c>
      <c r="B5217">
        <v>31845</v>
      </c>
      <c r="C5217" t="s">
        <v>11018</v>
      </c>
      <c r="D5217" t="s">
        <v>6168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11020</v>
      </c>
      <c r="B5220">
        <v>29708</v>
      </c>
      <c r="C5220" t="s">
        <v>4950</v>
      </c>
      <c r="D5220" t="s">
        <v>6168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11021</v>
      </c>
      <c r="B5223">
        <v>3167</v>
      </c>
      <c r="D5223" t="s">
        <v>6245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11022</v>
      </c>
      <c r="B5226">
        <v>39727</v>
      </c>
      <c r="C5226" t="s">
        <v>7412</v>
      </c>
      <c r="D5226" t="s">
        <v>6168</v>
      </c>
    </row>
    <row r="5227" spans="1:4">
      <c r="A5227" t="s">
        <v>11023</v>
      </c>
      <c r="B5227">
        <v>40515</v>
      </c>
      <c r="C5227" t="s">
        <v>11024</v>
      </c>
      <c r="D5227" t="s">
        <v>6449</v>
      </c>
    </row>
    <row r="5228" spans="1:4">
      <c r="A5228" t="s">
        <v>11025</v>
      </c>
      <c r="B5228">
        <v>23483</v>
      </c>
      <c r="C5228" t="s">
        <v>11024</v>
      </c>
      <c r="D5228" t="s">
        <v>6168</v>
      </c>
    </row>
    <row r="5229" spans="1:4">
      <c r="A5229" t="s">
        <v>11026</v>
      </c>
      <c r="B5229">
        <v>22955</v>
      </c>
      <c r="C5229" t="s">
        <v>6914</v>
      </c>
      <c r="D5229" t="s">
        <v>6168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11027</v>
      </c>
      <c r="B5231">
        <v>2515</v>
      </c>
      <c r="C5231" t="s">
        <v>3752</v>
      </c>
      <c r="D5231" t="s">
        <v>6267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11028</v>
      </c>
      <c r="B5234">
        <v>23164</v>
      </c>
      <c r="C5234" t="s">
        <v>11029</v>
      </c>
      <c r="D5234" t="s">
        <v>6267</v>
      </c>
    </row>
    <row r="5235" spans="1:4">
      <c r="A5235" t="s">
        <v>11030</v>
      </c>
      <c r="B5235">
        <v>23165</v>
      </c>
      <c r="C5235" t="s">
        <v>11029</v>
      </c>
      <c r="D5235" t="s">
        <v>6305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11031</v>
      </c>
      <c r="B5237">
        <v>2519</v>
      </c>
      <c r="C5237" t="s">
        <v>6417</v>
      </c>
      <c r="D5237" t="s">
        <v>6168</v>
      </c>
    </row>
    <row r="5238" spans="1:4">
      <c r="A5238" t="s">
        <v>11032</v>
      </c>
      <c r="B5238">
        <v>2520</v>
      </c>
      <c r="D5238" t="s">
        <v>6168</v>
      </c>
    </row>
    <row r="5239" spans="1:4">
      <c r="A5239" t="s">
        <v>11033</v>
      </c>
      <c r="B5239">
        <v>25721</v>
      </c>
      <c r="D5239" t="s">
        <v>6230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11034</v>
      </c>
      <c r="B5241">
        <v>22149</v>
      </c>
      <c r="C5241" t="s">
        <v>426</v>
      </c>
      <c r="D5241" t="s">
        <v>6168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11035</v>
      </c>
      <c r="B5243">
        <v>593</v>
      </c>
      <c r="C5243" t="s">
        <v>4950</v>
      </c>
      <c r="D5243" t="s">
        <v>6168</v>
      </c>
    </row>
    <row r="5244" spans="1:4">
      <c r="A5244" t="s">
        <v>11036</v>
      </c>
      <c r="B5244">
        <v>594</v>
      </c>
      <c r="C5244" t="s">
        <v>11037</v>
      </c>
      <c r="D5244" t="s">
        <v>6168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11038</v>
      </c>
      <c r="B5247">
        <v>25921</v>
      </c>
      <c r="D5247" t="s">
        <v>6292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11039</v>
      </c>
      <c r="B5249">
        <v>2592</v>
      </c>
      <c r="C5249" t="s">
        <v>11040</v>
      </c>
      <c r="D5249" t="s">
        <v>6168</v>
      </c>
    </row>
    <row r="5250" spans="1:4">
      <c r="A5250" t="s">
        <v>11041</v>
      </c>
      <c r="B5250">
        <v>638</v>
      </c>
      <c r="C5250" t="s">
        <v>11042</v>
      </c>
      <c r="D5250" t="s">
        <v>6168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11043</v>
      </c>
      <c r="B5252">
        <v>22151</v>
      </c>
      <c r="C5252" t="s">
        <v>11044</v>
      </c>
      <c r="D5252" t="s">
        <v>6168</v>
      </c>
    </row>
    <row r="5253" spans="1:4">
      <c r="A5253" t="s">
        <v>11045</v>
      </c>
      <c r="B5253">
        <v>22152</v>
      </c>
      <c r="C5253" t="s">
        <v>11046</v>
      </c>
      <c r="D5253" t="s">
        <v>6168</v>
      </c>
    </row>
    <row r="5254" spans="1:4">
      <c r="A5254" t="s">
        <v>17210</v>
      </c>
      <c r="B5254">
        <v>45282</v>
      </c>
      <c r="C5254" t="s">
        <v>1486</v>
      </c>
      <c r="D5254" t="s">
        <v>123</v>
      </c>
    </row>
    <row r="5255" spans="1:4">
      <c r="A5255" t="s">
        <v>17211</v>
      </c>
      <c r="B5255">
        <v>45283</v>
      </c>
      <c r="C5255" t="s">
        <v>8929</v>
      </c>
      <c r="D5255" t="s">
        <v>6168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17571</v>
      </c>
      <c r="B5257">
        <v>46841</v>
      </c>
      <c r="C5257" t="s">
        <v>13895</v>
      </c>
      <c r="D5257" t="s">
        <v>6168</v>
      </c>
    </row>
    <row r="5258" spans="1:4">
      <c r="A5258" t="s">
        <v>11047</v>
      </c>
      <c r="B5258">
        <v>41185</v>
      </c>
      <c r="C5258" t="s">
        <v>7667</v>
      </c>
      <c r="D5258" t="s">
        <v>6168</v>
      </c>
    </row>
    <row r="5259" spans="1:4">
      <c r="A5259" t="s">
        <v>11048</v>
      </c>
      <c r="B5259">
        <v>23761</v>
      </c>
      <c r="C5259" t="s">
        <v>11049</v>
      </c>
      <c r="D5259" t="s">
        <v>6168</v>
      </c>
    </row>
    <row r="5260" spans="1:4">
      <c r="A5260" t="s">
        <v>11050</v>
      </c>
      <c r="B5260">
        <v>24693</v>
      </c>
      <c r="C5260" t="s">
        <v>3124</v>
      </c>
      <c r="D5260" t="s">
        <v>6168</v>
      </c>
    </row>
    <row r="5261" spans="1:4">
      <c r="A5261" t="s">
        <v>11051</v>
      </c>
      <c r="B5261">
        <v>23762</v>
      </c>
      <c r="C5261" t="s">
        <v>11052</v>
      </c>
      <c r="D5261" t="s">
        <v>6168</v>
      </c>
    </row>
    <row r="5262" spans="1:4">
      <c r="A5262" t="s">
        <v>11053</v>
      </c>
      <c r="B5262">
        <v>31883</v>
      </c>
      <c r="C5262" t="s">
        <v>11052</v>
      </c>
      <c r="D5262" t="s">
        <v>6168</v>
      </c>
    </row>
    <row r="5263" spans="1:4">
      <c r="A5263" t="s">
        <v>11054</v>
      </c>
      <c r="B5263">
        <v>35246</v>
      </c>
      <c r="C5263" t="s">
        <v>11055</v>
      </c>
      <c r="D5263" t="s">
        <v>6168</v>
      </c>
    </row>
    <row r="5264" spans="1:4">
      <c r="A5264" t="s">
        <v>17284</v>
      </c>
      <c r="B5264">
        <v>45380</v>
      </c>
      <c r="C5264" t="s">
        <v>17285</v>
      </c>
      <c r="D5264" t="s">
        <v>6168</v>
      </c>
    </row>
    <row r="5265" spans="1:4">
      <c r="A5265" t="s">
        <v>11056</v>
      </c>
      <c r="B5265">
        <v>24171</v>
      </c>
      <c r="C5265" t="s">
        <v>11057</v>
      </c>
      <c r="D5265" t="s">
        <v>6241</v>
      </c>
    </row>
    <row r="5266" spans="1:4">
      <c r="A5266" t="s">
        <v>11058</v>
      </c>
      <c r="B5266">
        <v>23285</v>
      </c>
      <c r="C5266" t="s">
        <v>11059</v>
      </c>
      <c r="D5266" t="s">
        <v>6605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11060</v>
      </c>
      <c r="B5268">
        <v>2738</v>
      </c>
      <c r="C5268" t="s">
        <v>11061</v>
      </c>
      <c r="D5268" t="s">
        <v>6168</v>
      </c>
    </row>
    <row r="5269" spans="1:4">
      <c r="A5269" t="s">
        <v>11062</v>
      </c>
      <c r="B5269">
        <v>2739</v>
      </c>
      <c r="C5269" t="s">
        <v>4950</v>
      </c>
      <c r="D5269" t="s">
        <v>6168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11063</v>
      </c>
      <c r="B5274">
        <v>2517</v>
      </c>
      <c r="D5274" t="s">
        <v>6267</v>
      </c>
    </row>
    <row r="5275" spans="1:4">
      <c r="A5275" t="s">
        <v>11064</v>
      </c>
      <c r="B5275">
        <v>9832</v>
      </c>
      <c r="D5275" t="s">
        <v>6305</v>
      </c>
    </row>
    <row r="5276" spans="1:4">
      <c r="A5276" t="s">
        <v>11065</v>
      </c>
      <c r="B5276">
        <v>20598</v>
      </c>
      <c r="C5276" t="s">
        <v>444</v>
      </c>
      <c r="D5276" t="s">
        <v>6314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11066</v>
      </c>
      <c r="B5278">
        <v>38993</v>
      </c>
      <c r="C5278" t="s">
        <v>11067</v>
      </c>
      <c r="D5278" t="s">
        <v>6168</v>
      </c>
    </row>
    <row r="5279" spans="1:4">
      <c r="A5279" t="s">
        <v>11068</v>
      </c>
      <c r="B5279">
        <v>25601</v>
      </c>
      <c r="D5279" t="s">
        <v>6168</v>
      </c>
    </row>
    <row r="5280" spans="1:4">
      <c r="A5280" t="s">
        <v>11069</v>
      </c>
      <c r="B5280">
        <v>22153</v>
      </c>
      <c r="C5280" t="s">
        <v>11070</v>
      </c>
      <c r="D5280" t="s">
        <v>6168</v>
      </c>
    </row>
    <row r="5281" spans="1:4">
      <c r="A5281" t="s">
        <v>11071</v>
      </c>
      <c r="B5281">
        <v>25602</v>
      </c>
      <c r="C5281" t="s">
        <v>11072</v>
      </c>
      <c r="D5281" t="s">
        <v>6168</v>
      </c>
    </row>
    <row r="5282" spans="1:4">
      <c r="A5282" t="s">
        <v>11073</v>
      </c>
      <c r="B5282">
        <v>22154</v>
      </c>
      <c r="C5282" t="s">
        <v>11074</v>
      </c>
      <c r="D5282" t="s">
        <v>6168</v>
      </c>
    </row>
    <row r="5283" spans="1:4">
      <c r="A5283" t="s">
        <v>11075</v>
      </c>
      <c r="B5283">
        <v>43157</v>
      </c>
      <c r="C5283" t="s">
        <v>11076</v>
      </c>
      <c r="D5283" t="s">
        <v>6168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11077</v>
      </c>
      <c r="B5285">
        <v>2393</v>
      </c>
      <c r="C5285" t="s">
        <v>4808</v>
      </c>
      <c r="D5285" t="s">
        <v>6267</v>
      </c>
    </row>
    <row r="5286" spans="1:4">
      <c r="A5286" t="s">
        <v>11078</v>
      </c>
      <c r="B5286">
        <v>20384</v>
      </c>
      <c r="C5286" t="s">
        <v>4808</v>
      </c>
      <c r="D5286" t="s">
        <v>6305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11079</v>
      </c>
      <c r="B5288">
        <v>2445</v>
      </c>
      <c r="C5288" t="s">
        <v>11080</v>
      </c>
      <c r="D5288" t="s">
        <v>6168</v>
      </c>
    </row>
    <row r="5289" spans="1:4">
      <c r="A5289" t="s">
        <v>11081</v>
      </c>
      <c r="B5289">
        <v>2446</v>
      </c>
      <c r="C5289" t="s">
        <v>426</v>
      </c>
      <c r="D5289" t="s">
        <v>6168</v>
      </c>
    </row>
    <row r="5290" spans="1:4">
      <c r="A5290" t="s">
        <v>11082</v>
      </c>
      <c r="B5290">
        <v>2447</v>
      </c>
      <c r="C5290" t="s">
        <v>11083</v>
      </c>
      <c r="D5290" t="s">
        <v>6168</v>
      </c>
    </row>
    <row r="5291" spans="1:4">
      <c r="A5291" t="s">
        <v>11084</v>
      </c>
      <c r="B5291">
        <v>2448</v>
      </c>
      <c r="C5291" t="s">
        <v>8630</v>
      </c>
      <c r="D5291" t="s">
        <v>6168</v>
      </c>
    </row>
    <row r="5292" spans="1:4">
      <c r="A5292" t="s">
        <v>11085</v>
      </c>
      <c r="B5292">
        <v>2449</v>
      </c>
      <c r="C5292" t="s">
        <v>4950</v>
      </c>
      <c r="D5292" t="s">
        <v>6168</v>
      </c>
    </row>
    <row r="5293" spans="1:4">
      <c r="A5293" t="s">
        <v>11086</v>
      </c>
      <c r="B5293">
        <v>2450</v>
      </c>
      <c r="C5293" t="s">
        <v>10541</v>
      </c>
      <c r="D5293" t="s">
        <v>6168</v>
      </c>
    </row>
    <row r="5294" spans="1:4">
      <c r="A5294" t="s">
        <v>11087</v>
      </c>
      <c r="B5294">
        <v>2451</v>
      </c>
      <c r="C5294" t="s">
        <v>11088</v>
      </c>
      <c r="D5294" t="s">
        <v>6168</v>
      </c>
    </row>
    <row r="5295" spans="1:4">
      <c r="A5295" t="s">
        <v>11089</v>
      </c>
      <c r="B5295">
        <v>2452</v>
      </c>
      <c r="C5295" t="s">
        <v>11090</v>
      </c>
      <c r="D5295" t="s">
        <v>6168</v>
      </c>
    </row>
    <row r="5296" spans="1:4">
      <c r="A5296" t="s">
        <v>11091</v>
      </c>
      <c r="B5296">
        <v>2453</v>
      </c>
      <c r="C5296" t="s">
        <v>11092</v>
      </c>
      <c r="D5296" t="s">
        <v>6168</v>
      </c>
    </row>
    <row r="5297" spans="1:4">
      <c r="A5297" t="s">
        <v>11093</v>
      </c>
      <c r="B5297">
        <v>2454</v>
      </c>
      <c r="C5297" t="s">
        <v>11094</v>
      </c>
      <c r="D5297" t="s">
        <v>6168</v>
      </c>
    </row>
    <row r="5298" spans="1:4">
      <c r="A5298" t="s">
        <v>11095</v>
      </c>
      <c r="B5298">
        <v>2455</v>
      </c>
      <c r="D5298" t="s">
        <v>6168</v>
      </c>
    </row>
    <row r="5299" spans="1:4">
      <c r="A5299" t="s">
        <v>11096</v>
      </c>
      <c r="B5299">
        <v>2456</v>
      </c>
      <c r="C5299" t="s">
        <v>11097</v>
      </c>
      <c r="D5299" t="s">
        <v>6168</v>
      </c>
    </row>
    <row r="5300" spans="1:4">
      <c r="A5300" t="s">
        <v>11098</v>
      </c>
      <c r="B5300">
        <v>2457</v>
      </c>
      <c r="C5300" t="s">
        <v>11099</v>
      </c>
      <c r="D5300" t="s">
        <v>6168</v>
      </c>
    </row>
    <row r="5301" spans="1:4">
      <c r="A5301" t="s">
        <v>11100</v>
      </c>
      <c r="B5301">
        <v>2458</v>
      </c>
      <c r="C5301" t="s">
        <v>8929</v>
      </c>
      <c r="D5301" t="s">
        <v>6168</v>
      </c>
    </row>
    <row r="5302" spans="1:4">
      <c r="A5302" t="s">
        <v>11101</v>
      </c>
      <c r="B5302">
        <v>2459</v>
      </c>
      <c r="C5302" t="s">
        <v>11102</v>
      </c>
      <c r="D5302" t="s">
        <v>6168</v>
      </c>
    </row>
    <row r="5303" spans="1:4">
      <c r="A5303" t="s">
        <v>11103</v>
      </c>
      <c r="B5303">
        <v>2460</v>
      </c>
      <c r="C5303" t="s">
        <v>11094</v>
      </c>
      <c r="D5303" t="s">
        <v>6168</v>
      </c>
    </row>
    <row r="5304" spans="1:4">
      <c r="A5304" t="s">
        <v>11104</v>
      </c>
      <c r="B5304">
        <v>2461</v>
      </c>
      <c r="C5304" t="s">
        <v>10332</v>
      </c>
      <c r="D5304" t="s">
        <v>6168</v>
      </c>
    </row>
    <row r="5305" spans="1:4">
      <c r="A5305" t="s">
        <v>11105</v>
      </c>
      <c r="B5305">
        <v>2462</v>
      </c>
      <c r="C5305" t="s">
        <v>11106</v>
      </c>
      <c r="D5305" t="s">
        <v>6168</v>
      </c>
    </row>
    <row r="5306" spans="1:4">
      <c r="A5306" t="s">
        <v>11107</v>
      </c>
      <c r="B5306">
        <v>2463</v>
      </c>
      <c r="C5306" t="s">
        <v>11108</v>
      </c>
      <c r="D5306" t="s">
        <v>6168</v>
      </c>
    </row>
    <row r="5307" spans="1:4">
      <c r="A5307" t="s">
        <v>11109</v>
      </c>
      <c r="B5307">
        <v>2464</v>
      </c>
      <c r="C5307" t="s">
        <v>11110</v>
      </c>
      <c r="D5307" t="s">
        <v>6168</v>
      </c>
    </row>
    <row r="5308" spans="1:4">
      <c r="A5308" t="s">
        <v>11111</v>
      </c>
      <c r="B5308">
        <v>2465</v>
      </c>
      <c r="C5308" t="s">
        <v>426</v>
      </c>
      <c r="D5308" t="s">
        <v>6168</v>
      </c>
    </row>
    <row r="5309" spans="1:4">
      <c r="A5309" t="s">
        <v>11112</v>
      </c>
      <c r="B5309">
        <v>2466</v>
      </c>
      <c r="C5309" t="s">
        <v>11113</v>
      </c>
      <c r="D5309" t="s">
        <v>6168</v>
      </c>
    </row>
    <row r="5310" spans="1:4">
      <c r="A5310" t="s">
        <v>11114</v>
      </c>
      <c r="B5310">
        <v>2467</v>
      </c>
      <c r="C5310" t="s">
        <v>10640</v>
      </c>
      <c r="D5310" t="s">
        <v>6168</v>
      </c>
    </row>
    <row r="5311" spans="1:4">
      <c r="A5311" t="s">
        <v>11115</v>
      </c>
      <c r="B5311">
        <v>2470</v>
      </c>
      <c r="C5311" t="s">
        <v>11116</v>
      </c>
      <c r="D5311" t="s">
        <v>6168</v>
      </c>
    </row>
    <row r="5312" spans="1:4">
      <c r="A5312" t="s">
        <v>11117</v>
      </c>
      <c r="B5312">
        <v>2468</v>
      </c>
      <c r="C5312" t="s">
        <v>11118</v>
      </c>
      <c r="D5312" t="s">
        <v>6168</v>
      </c>
    </row>
    <row r="5313" spans="1:4">
      <c r="A5313" t="s">
        <v>11119</v>
      </c>
      <c r="B5313">
        <v>2469</v>
      </c>
      <c r="C5313" t="s">
        <v>11120</v>
      </c>
      <c r="D5313" t="s">
        <v>6168</v>
      </c>
    </row>
    <row r="5314" spans="1:4">
      <c r="A5314" t="s">
        <v>11121</v>
      </c>
      <c r="B5314">
        <v>2471</v>
      </c>
      <c r="C5314" t="s">
        <v>11110</v>
      </c>
      <c r="D5314" t="s">
        <v>6168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11122</v>
      </c>
      <c r="B5316">
        <v>213</v>
      </c>
      <c r="C5316" t="s">
        <v>6760</v>
      </c>
      <c r="D5316" t="s">
        <v>6168</v>
      </c>
    </row>
    <row r="5317" spans="1:4">
      <c r="A5317" t="s">
        <v>11123</v>
      </c>
      <c r="B5317">
        <v>3191</v>
      </c>
      <c r="D5317" t="s">
        <v>6168</v>
      </c>
    </row>
    <row r="5318" spans="1:4">
      <c r="A5318" t="s">
        <v>11124</v>
      </c>
      <c r="B5318">
        <v>39857</v>
      </c>
      <c r="C5318" t="s">
        <v>1780</v>
      </c>
      <c r="D5318" t="s">
        <v>6168</v>
      </c>
    </row>
    <row r="5319" spans="1:4">
      <c r="A5319" t="s">
        <v>11125</v>
      </c>
      <c r="B5319">
        <v>214</v>
      </c>
      <c r="C5319" t="s">
        <v>11126</v>
      </c>
      <c r="D5319" t="s">
        <v>6168</v>
      </c>
    </row>
    <row r="5320" spans="1:4">
      <c r="A5320" t="s">
        <v>11127</v>
      </c>
      <c r="B5320">
        <v>215</v>
      </c>
      <c r="C5320" t="s">
        <v>2103</v>
      </c>
      <c r="D5320" t="s">
        <v>6168</v>
      </c>
    </row>
    <row r="5321" spans="1:4">
      <c r="A5321" t="s">
        <v>11128</v>
      </c>
      <c r="B5321">
        <v>2306</v>
      </c>
      <c r="C5321" t="s">
        <v>11129</v>
      </c>
      <c r="D5321" t="s">
        <v>6168</v>
      </c>
    </row>
    <row r="5322" spans="1:4">
      <c r="A5322" t="s">
        <v>11130</v>
      </c>
      <c r="B5322">
        <v>30109</v>
      </c>
      <c r="C5322" t="s">
        <v>11131</v>
      </c>
      <c r="D5322" t="s">
        <v>6168</v>
      </c>
    </row>
    <row r="5323" spans="1:4">
      <c r="A5323" t="s">
        <v>11132</v>
      </c>
      <c r="B5323">
        <v>216</v>
      </c>
      <c r="C5323" t="s">
        <v>11133</v>
      </c>
      <c r="D5323" t="s">
        <v>6168</v>
      </c>
    </row>
    <row r="5324" spans="1:4">
      <c r="A5324" t="s">
        <v>11134</v>
      </c>
      <c r="B5324">
        <v>2302</v>
      </c>
      <c r="C5324" t="s">
        <v>6760</v>
      </c>
      <c r="D5324" t="s">
        <v>6168</v>
      </c>
    </row>
    <row r="5325" spans="1:4">
      <c r="A5325" t="s">
        <v>11135</v>
      </c>
      <c r="B5325">
        <v>2305</v>
      </c>
      <c r="C5325" t="s">
        <v>11136</v>
      </c>
      <c r="D5325" t="s">
        <v>6168</v>
      </c>
    </row>
    <row r="5326" spans="1:4">
      <c r="A5326" t="s">
        <v>11137</v>
      </c>
      <c r="B5326">
        <v>5220</v>
      </c>
      <c r="C5326" t="s">
        <v>11138</v>
      </c>
      <c r="D5326" t="s">
        <v>6168</v>
      </c>
    </row>
    <row r="5327" spans="1:4">
      <c r="A5327" t="s">
        <v>11139</v>
      </c>
      <c r="B5327">
        <v>2303</v>
      </c>
      <c r="C5327" t="s">
        <v>11140</v>
      </c>
      <c r="D5327" t="s">
        <v>6168</v>
      </c>
    </row>
    <row r="5328" spans="1:4">
      <c r="A5328" t="s">
        <v>11141</v>
      </c>
      <c r="B5328">
        <v>40062</v>
      </c>
      <c r="C5328" t="s">
        <v>11142</v>
      </c>
      <c r="D5328" t="s">
        <v>6168</v>
      </c>
    </row>
    <row r="5329" spans="1:4">
      <c r="A5329" t="s">
        <v>11143</v>
      </c>
      <c r="B5329">
        <v>20403</v>
      </c>
      <c r="C5329" t="s">
        <v>11144</v>
      </c>
      <c r="D5329" t="s">
        <v>6168</v>
      </c>
    </row>
    <row r="5330" spans="1:4">
      <c r="A5330" t="s">
        <v>11145</v>
      </c>
      <c r="B5330">
        <v>217</v>
      </c>
      <c r="C5330" t="s">
        <v>1820</v>
      </c>
      <c r="D5330" t="s">
        <v>6168</v>
      </c>
    </row>
    <row r="5331" spans="1:4">
      <c r="A5331" t="s">
        <v>11146</v>
      </c>
      <c r="B5331">
        <v>218</v>
      </c>
      <c r="D5331" t="s">
        <v>6168</v>
      </c>
    </row>
    <row r="5332" spans="1:4">
      <c r="A5332" t="s">
        <v>11147</v>
      </c>
      <c r="B5332">
        <v>219</v>
      </c>
      <c r="C5332" t="s">
        <v>1587</v>
      </c>
      <c r="D5332" t="s">
        <v>6168</v>
      </c>
    </row>
    <row r="5333" spans="1:4">
      <c r="A5333" t="s">
        <v>11148</v>
      </c>
      <c r="B5333">
        <v>2304</v>
      </c>
      <c r="C5333" t="s">
        <v>11149</v>
      </c>
      <c r="D5333" t="s">
        <v>6168</v>
      </c>
    </row>
    <row r="5334" spans="1:4">
      <c r="A5334" t="s">
        <v>11150</v>
      </c>
      <c r="B5334">
        <v>220</v>
      </c>
      <c r="C5334" t="s">
        <v>11151</v>
      </c>
      <c r="D5334" t="s">
        <v>6168</v>
      </c>
    </row>
    <row r="5335" spans="1:4">
      <c r="A5335" t="s">
        <v>11152</v>
      </c>
      <c r="B5335">
        <v>31209</v>
      </c>
      <c r="C5335" t="s">
        <v>11153</v>
      </c>
      <c r="D5335" t="s">
        <v>6168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11154</v>
      </c>
      <c r="B5337">
        <v>20385</v>
      </c>
      <c r="C5337" t="s">
        <v>11155</v>
      </c>
      <c r="D5337" t="s">
        <v>6314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11156</v>
      </c>
      <c r="B5339">
        <v>2282</v>
      </c>
      <c r="C5339" t="s">
        <v>11157</v>
      </c>
      <c r="D5339" t="s">
        <v>6168</v>
      </c>
    </row>
    <row r="5340" spans="1:4">
      <c r="A5340" t="s">
        <v>16802</v>
      </c>
      <c r="B5340">
        <v>43356</v>
      </c>
      <c r="C5340" t="s">
        <v>16803</v>
      </c>
      <c r="D5340" t="s">
        <v>6168</v>
      </c>
    </row>
    <row r="5341" spans="1:4">
      <c r="A5341" t="s">
        <v>11158</v>
      </c>
      <c r="B5341">
        <v>2283</v>
      </c>
      <c r="C5341" t="s">
        <v>6578</v>
      </c>
      <c r="D5341" t="s">
        <v>6168</v>
      </c>
    </row>
    <row r="5342" spans="1:4">
      <c r="A5342" t="s">
        <v>11159</v>
      </c>
      <c r="B5342">
        <v>32540</v>
      </c>
      <c r="C5342" t="s">
        <v>11160</v>
      </c>
      <c r="D5342" t="s">
        <v>6168</v>
      </c>
    </row>
    <row r="5343" spans="1:4">
      <c r="A5343" t="s">
        <v>11161</v>
      </c>
      <c r="B5343">
        <v>32541</v>
      </c>
      <c r="C5343" t="s">
        <v>8317</v>
      </c>
      <c r="D5343" t="s">
        <v>6168</v>
      </c>
    </row>
    <row r="5344" spans="1:4">
      <c r="A5344" t="s">
        <v>11162</v>
      </c>
      <c r="B5344">
        <v>2284</v>
      </c>
      <c r="C5344" t="s">
        <v>9123</v>
      </c>
      <c r="D5344" t="s">
        <v>6168</v>
      </c>
    </row>
    <row r="5345" spans="1:4">
      <c r="A5345" t="s">
        <v>11163</v>
      </c>
      <c r="B5345">
        <v>2285</v>
      </c>
      <c r="C5345" t="s">
        <v>11164</v>
      </c>
      <c r="D5345" t="s">
        <v>6168</v>
      </c>
    </row>
    <row r="5346" spans="1:4">
      <c r="A5346" t="s">
        <v>11165</v>
      </c>
      <c r="B5346">
        <v>2286</v>
      </c>
      <c r="C5346" t="s">
        <v>6475</v>
      </c>
      <c r="D5346" t="s">
        <v>6168</v>
      </c>
    </row>
    <row r="5347" spans="1:4">
      <c r="A5347" t="s">
        <v>11166</v>
      </c>
      <c r="B5347">
        <v>32511</v>
      </c>
      <c r="C5347" t="s">
        <v>11167</v>
      </c>
      <c r="D5347" t="s">
        <v>6168</v>
      </c>
    </row>
    <row r="5348" spans="1:4">
      <c r="A5348" t="s">
        <v>11168</v>
      </c>
      <c r="B5348">
        <v>2287</v>
      </c>
      <c r="C5348" t="s">
        <v>1885</v>
      </c>
      <c r="D5348" t="s">
        <v>6168</v>
      </c>
    </row>
    <row r="5349" spans="1:4">
      <c r="A5349" t="s">
        <v>11169</v>
      </c>
      <c r="B5349">
        <v>2288</v>
      </c>
      <c r="C5349" t="s">
        <v>6475</v>
      </c>
      <c r="D5349" t="s">
        <v>6168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11170</v>
      </c>
      <c r="B5351">
        <v>23059</v>
      </c>
      <c r="C5351" t="s">
        <v>1613</v>
      </c>
      <c r="D5351" t="s">
        <v>6267</v>
      </c>
    </row>
    <row r="5352" spans="1:4">
      <c r="A5352" t="s">
        <v>11171</v>
      </c>
      <c r="B5352">
        <v>23060</v>
      </c>
      <c r="C5352" t="s">
        <v>1613</v>
      </c>
      <c r="D5352" t="s">
        <v>6305</v>
      </c>
    </row>
    <row r="5353" spans="1:4">
      <c r="A5353" t="s">
        <v>11172</v>
      </c>
      <c r="B5353">
        <v>20386</v>
      </c>
      <c r="D5353" t="s">
        <v>6314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11173</v>
      </c>
      <c r="B5355">
        <v>630</v>
      </c>
      <c r="C5355" t="s">
        <v>11174</v>
      </c>
      <c r="D5355" t="s">
        <v>6168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11175</v>
      </c>
      <c r="B5358">
        <v>22156</v>
      </c>
      <c r="C5358" t="s">
        <v>11176</v>
      </c>
      <c r="D5358" t="s">
        <v>6168</v>
      </c>
    </row>
    <row r="5359" spans="1:4">
      <c r="A5359" t="s">
        <v>11177</v>
      </c>
      <c r="B5359">
        <v>22157</v>
      </c>
      <c r="C5359" t="s">
        <v>11178</v>
      </c>
      <c r="D5359" t="s">
        <v>6168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11179</v>
      </c>
      <c r="B5361">
        <v>591</v>
      </c>
      <c r="C5361" t="s">
        <v>11067</v>
      </c>
      <c r="D5361" t="s">
        <v>6168</v>
      </c>
    </row>
    <row r="5362" spans="1:4">
      <c r="A5362" t="s">
        <v>11180</v>
      </c>
      <c r="B5362">
        <v>589</v>
      </c>
      <c r="D5362" t="s">
        <v>6168</v>
      </c>
    </row>
    <row r="5363" spans="1:4">
      <c r="A5363" t="s">
        <v>11181</v>
      </c>
      <c r="B5363">
        <v>590</v>
      </c>
      <c r="C5363" t="s">
        <v>11182</v>
      </c>
      <c r="D5363" t="s">
        <v>6168</v>
      </c>
    </row>
    <row r="5364" spans="1:4">
      <c r="A5364" t="s">
        <v>11183</v>
      </c>
      <c r="B5364">
        <v>20387</v>
      </c>
      <c r="C5364" t="s">
        <v>426</v>
      </c>
      <c r="D5364" t="s">
        <v>6305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11184</v>
      </c>
      <c r="B5366">
        <v>2425</v>
      </c>
      <c r="C5366" t="s">
        <v>11185</v>
      </c>
      <c r="D5366" t="s">
        <v>6168</v>
      </c>
    </row>
    <row r="5367" spans="1:4">
      <c r="A5367" t="s">
        <v>11186</v>
      </c>
      <c r="B5367">
        <v>2426</v>
      </c>
      <c r="D5367" t="s">
        <v>6168</v>
      </c>
    </row>
    <row r="5368" spans="1:4">
      <c r="A5368" t="s">
        <v>11187</v>
      </c>
      <c r="B5368">
        <v>3168</v>
      </c>
      <c r="C5368" t="s">
        <v>11188</v>
      </c>
      <c r="D5368" t="s">
        <v>6605</v>
      </c>
    </row>
    <row r="5369" spans="1:4">
      <c r="A5369" t="s">
        <v>16725</v>
      </c>
      <c r="B5369">
        <v>43309</v>
      </c>
      <c r="C5369" t="s">
        <v>16726</v>
      </c>
      <c r="D5369" t="s">
        <v>6314</v>
      </c>
    </row>
    <row r="5370" spans="1:4">
      <c r="A5370" t="s">
        <v>16720</v>
      </c>
      <c r="B5370">
        <v>43306</v>
      </c>
      <c r="C5370" t="s">
        <v>16721</v>
      </c>
      <c r="D5370" t="s">
        <v>123</v>
      </c>
    </row>
    <row r="5371" spans="1:4">
      <c r="A5371" t="s">
        <v>16774</v>
      </c>
      <c r="B5371">
        <v>43339</v>
      </c>
      <c r="C5371" t="s">
        <v>16775</v>
      </c>
      <c r="D5371" t="s">
        <v>6168</v>
      </c>
    </row>
    <row r="5372" spans="1:4">
      <c r="A5372" t="s">
        <v>16719</v>
      </c>
      <c r="B5372">
        <v>43305</v>
      </c>
      <c r="C5372" t="s">
        <v>16718</v>
      </c>
      <c r="D5372" t="s">
        <v>134</v>
      </c>
    </row>
    <row r="5373" spans="1:4">
      <c r="A5373" t="s">
        <v>16717</v>
      </c>
      <c r="B5373">
        <v>43304</v>
      </c>
      <c r="C5373" t="s">
        <v>16718</v>
      </c>
      <c r="D5373" t="s">
        <v>6314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11189</v>
      </c>
      <c r="B5375">
        <v>524</v>
      </c>
      <c r="C5375" t="s">
        <v>11190</v>
      </c>
      <c r="D5375" t="s">
        <v>6168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11191</v>
      </c>
      <c r="B5377">
        <v>31141</v>
      </c>
      <c r="C5377" t="s">
        <v>2360</v>
      </c>
      <c r="D5377" t="s">
        <v>6245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11192</v>
      </c>
      <c r="B5379">
        <v>2442</v>
      </c>
      <c r="C5379" t="s">
        <v>11193</v>
      </c>
      <c r="D5379" t="s">
        <v>6168</v>
      </c>
    </row>
    <row r="5380" spans="1:4">
      <c r="A5380" t="s">
        <v>17214</v>
      </c>
      <c r="B5380">
        <v>45285</v>
      </c>
      <c r="C5380" t="s">
        <v>15666</v>
      </c>
      <c r="D5380" t="s">
        <v>6168</v>
      </c>
    </row>
    <row r="5381" spans="1:4">
      <c r="A5381" t="s">
        <v>11194</v>
      </c>
      <c r="B5381">
        <v>2443</v>
      </c>
      <c r="C5381" t="s">
        <v>11195</v>
      </c>
      <c r="D5381" t="s">
        <v>6168</v>
      </c>
    </row>
    <row r="5382" spans="1:4">
      <c r="A5382" t="s">
        <v>11196</v>
      </c>
      <c r="B5382">
        <v>2444</v>
      </c>
      <c r="C5382" t="s">
        <v>10649</v>
      </c>
      <c r="D5382" t="s">
        <v>6168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11197</v>
      </c>
      <c r="B5384">
        <v>29777</v>
      </c>
      <c r="C5384" t="s">
        <v>3329</v>
      </c>
      <c r="D5384" t="s">
        <v>6248</v>
      </c>
    </row>
    <row r="5385" spans="1:4">
      <c r="A5385" t="s">
        <v>11198</v>
      </c>
      <c r="B5385">
        <v>30338</v>
      </c>
      <c r="C5385" t="s">
        <v>6409</v>
      </c>
      <c r="D5385" t="s">
        <v>6168</v>
      </c>
    </row>
    <row r="5386" spans="1:4">
      <c r="A5386" t="s">
        <v>11199</v>
      </c>
      <c r="B5386">
        <v>30368</v>
      </c>
      <c r="C5386" t="s">
        <v>11200</v>
      </c>
      <c r="D5386" t="s">
        <v>6168</v>
      </c>
    </row>
    <row r="5387" spans="1:4">
      <c r="A5387" t="s">
        <v>11202</v>
      </c>
      <c r="B5387">
        <v>29883</v>
      </c>
      <c r="C5387" t="s">
        <v>11201</v>
      </c>
      <c r="D5387" t="s">
        <v>6168</v>
      </c>
    </row>
    <row r="5388" spans="1:4">
      <c r="A5388" t="s">
        <v>11203</v>
      </c>
      <c r="B5388">
        <v>29814</v>
      </c>
      <c r="C5388" t="s">
        <v>11204</v>
      </c>
      <c r="D5388" t="s">
        <v>6248</v>
      </c>
    </row>
    <row r="5389" spans="1:4">
      <c r="A5389" t="s">
        <v>11205</v>
      </c>
      <c r="B5389">
        <v>29895</v>
      </c>
      <c r="C5389" t="s">
        <v>11206</v>
      </c>
      <c r="D5389" t="s">
        <v>6168</v>
      </c>
    </row>
    <row r="5390" spans="1:4">
      <c r="A5390" t="s">
        <v>16708</v>
      </c>
      <c r="B5390">
        <v>43044</v>
      </c>
      <c r="C5390" t="s">
        <v>11201</v>
      </c>
      <c r="D5390" t="s">
        <v>6168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11207</v>
      </c>
      <c r="B5393">
        <v>43478</v>
      </c>
      <c r="C5393" t="s">
        <v>8132</v>
      </c>
      <c r="D5393" t="s">
        <v>6168</v>
      </c>
    </row>
    <row r="5394" spans="1:4">
      <c r="A5394" t="s">
        <v>11208</v>
      </c>
      <c r="B5394">
        <v>25332</v>
      </c>
      <c r="C5394" t="s">
        <v>8466</v>
      </c>
      <c r="D5394" t="s">
        <v>6168</v>
      </c>
    </row>
    <row r="5395" spans="1:4">
      <c r="A5395" t="s">
        <v>11209</v>
      </c>
      <c r="B5395">
        <v>1081</v>
      </c>
      <c r="D5395" t="s">
        <v>6245</v>
      </c>
    </row>
    <row r="5396" spans="1:4">
      <c r="A5396" t="s">
        <v>11210</v>
      </c>
      <c r="B5396">
        <v>31226</v>
      </c>
      <c r="D5396" t="s">
        <v>6243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11211</v>
      </c>
      <c r="B5398">
        <v>41186</v>
      </c>
      <c r="C5398" t="s">
        <v>3329</v>
      </c>
      <c r="D5398" t="s">
        <v>6168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17069</v>
      </c>
      <c r="B5400">
        <v>44324</v>
      </c>
      <c r="C5400" t="s">
        <v>3848</v>
      </c>
      <c r="D5400" t="s">
        <v>123</v>
      </c>
    </row>
    <row r="5401" spans="1:4">
      <c r="A5401" t="s">
        <v>17125</v>
      </c>
      <c r="B5401">
        <v>44383</v>
      </c>
      <c r="C5401" t="s">
        <v>4950</v>
      </c>
      <c r="D5401" t="s">
        <v>6168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11212</v>
      </c>
      <c r="B5403">
        <v>4228</v>
      </c>
      <c r="C5403" t="s">
        <v>6724</v>
      </c>
      <c r="D5403" t="s">
        <v>6168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11213</v>
      </c>
      <c r="B5405">
        <v>35370</v>
      </c>
      <c r="C5405" t="s">
        <v>9813</v>
      </c>
      <c r="D5405" t="s">
        <v>6168</v>
      </c>
    </row>
    <row r="5406" spans="1:4">
      <c r="A5406" t="s">
        <v>11214</v>
      </c>
      <c r="B5406">
        <v>35371</v>
      </c>
      <c r="C5406" t="s">
        <v>7065</v>
      </c>
      <c r="D5406" t="s">
        <v>6168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11215</v>
      </c>
      <c r="B5408">
        <v>4298</v>
      </c>
      <c r="C5408" t="s">
        <v>3217</v>
      </c>
      <c r="D5408" t="s">
        <v>6230</v>
      </c>
    </row>
    <row r="5409" spans="1:4">
      <c r="A5409" t="s">
        <v>11216</v>
      </c>
      <c r="B5409">
        <v>188</v>
      </c>
      <c r="D5409" t="s">
        <v>6248</v>
      </c>
    </row>
    <row r="5410" spans="1:4">
      <c r="A5410" t="s">
        <v>11217</v>
      </c>
      <c r="B5410">
        <v>20388</v>
      </c>
      <c r="D5410" t="s">
        <v>6305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11218</v>
      </c>
      <c r="B5412">
        <v>2423</v>
      </c>
      <c r="C5412" t="s">
        <v>11219</v>
      </c>
      <c r="D5412" t="s">
        <v>6168</v>
      </c>
    </row>
    <row r="5413" spans="1:4">
      <c r="A5413" t="s">
        <v>11220</v>
      </c>
      <c r="B5413">
        <v>2424</v>
      </c>
      <c r="C5413" t="s">
        <v>6533</v>
      </c>
      <c r="D5413" t="s">
        <v>6168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11221</v>
      </c>
      <c r="B5415">
        <v>184</v>
      </c>
      <c r="D5415" t="s">
        <v>6248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11222</v>
      </c>
      <c r="B5418">
        <v>35241</v>
      </c>
      <c r="C5418" t="s">
        <v>6491</v>
      </c>
      <c r="D5418" t="s">
        <v>6168</v>
      </c>
    </row>
    <row r="5419" spans="1:4">
      <c r="A5419" t="s">
        <v>11223</v>
      </c>
      <c r="B5419">
        <v>30627</v>
      </c>
      <c r="C5419" t="s">
        <v>6596</v>
      </c>
      <c r="D5419" t="s">
        <v>6168</v>
      </c>
    </row>
    <row r="5420" spans="1:4">
      <c r="A5420" t="s">
        <v>11224</v>
      </c>
      <c r="B5420">
        <v>22158</v>
      </c>
      <c r="C5420" t="s">
        <v>11225</v>
      </c>
      <c r="D5420" t="s">
        <v>6243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11226</v>
      </c>
      <c r="B5422">
        <v>22160</v>
      </c>
      <c r="D5422" t="s">
        <v>6267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11227</v>
      </c>
      <c r="B5424">
        <v>29200</v>
      </c>
      <c r="C5424" t="s">
        <v>11228</v>
      </c>
      <c r="D5424" t="s">
        <v>6168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11229</v>
      </c>
      <c r="B5427">
        <v>40513</v>
      </c>
      <c r="D5427" t="s">
        <v>6605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11230</v>
      </c>
      <c r="B5429">
        <v>29532</v>
      </c>
      <c r="C5429" t="s">
        <v>9988</v>
      </c>
      <c r="D5429" t="s">
        <v>6168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11231</v>
      </c>
      <c r="B5431">
        <v>22162</v>
      </c>
      <c r="C5431" t="s">
        <v>11232</v>
      </c>
      <c r="D5431" t="s">
        <v>6168</v>
      </c>
    </row>
    <row r="5432" spans="1:4">
      <c r="A5432" t="s">
        <v>11233</v>
      </c>
      <c r="B5432">
        <v>22163</v>
      </c>
      <c r="C5432" t="s">
        <v>9705</v>
      </c>
      <c r="D5432" t="s">
        <v>6168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11234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11235</v>
      </c>
      <c r="B5437">
        <v>24696</v>
      </c>
      <c r="C5437" t="s">
        <v>11236</v>
      </c>
      <c r="D5437" t="s">
        <v>6168</v>
      </c>
    </row>
    <row r="5438" spans="1:4">
      <c r="A5438" t="s">
        <v>11237</v>
      </c>
      <c r="B5438">
        <v>24697</v>
      </c>
      <c r="C5438" t="s">
        <v>6546</v>
      </c>
      <c r="D5438" t="s">
        <v>6168</v>
      </c>
    </row>
    <row r="5439" spans="1:4">
      <c r="A5439" t="s">
        <v>11238</v>
      </c>
      <c r="B5439">
        <v>29191</v>
      </c>
      <c r="C5439" t="s">
        <v>6523</v>
      </c>
      <c r="D5439" t="s">
        <v>6168</v>
      </c>
    </row>
    <row r="5440" spans="1:4">
      <c r="A5440" t="s">
        <v>11239</v>
      </c>
      <c r="B5440">
        <v>26291</v>
      </c>
      <c r="C5440" t="s">
        <v>2930</v>
      </c>
      <c r="D5440" t="s">
        <v>6168</v>
      </c>
    </row>
    <row r="5441" spans="1:4">
      <c r="A5441" t="s">
        <v>11240</v>
      </c>
      <c r="B5441">
        <v>24698</v>
      </c>
      <c r="C5441" t="s">
        <v>11241</v>
      </c>
      <c r="D5441" t="s">
        <v>6168</v>
      </c>
    </row>
    <row r="5442" spans="1:4">
      <c r="A5442" t="s">
        <v>11242</v>
      </c>
      <c r="B5442">
        <v>41187</v>
      </c>
      <c r="C5442" t="s">
        <v>2346</v>
      </c>
      <c r="D5442" t="s">
        <v>6168</v>
      </c>
    </row>
    <row r="5443" spans="1:4">
      <c r="A5443" t="s">
        <v>11243</v>
      </c>
      <c r="B5443">
        <v>24699</v>
      </c>
      <c r="C5443" t="s">
        <v>5244</v>
      </c>
      <c r="D5443" t="s">
        <v>6168</v>
      </c>
    </row>
    <row r="5444" spans="1:4">
      <c r="A5444" t="s">
        <v>11244</v>
      </c>
      <c r="B5444">
        <v>24700</v>
      </c>
      <c r="C5444" t="s">
        <v>409</v>
      </c>
      <c r="D5444" t="s">
        <v>6168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11245</v>
      </c>
      <c r="B5447">
        <v>39579</v>
      </c>
      <c r="C5447" t="s">
        <v>11246</v>
      </c>
      <c r="D5447" t="s">
        <v>6168</v>
      </c>
    </row>
    <row r="5448" spans="1:4">
      <c r="A5448" t="s">
        <v>11247</v>
      </c>
      <c r="B5448">
        <v>29816</v>
      </c>
      <c r="C5448" t="s">
        <v>11248</v>
      </c>
      <c r="D5448" t="s">
        <v>6168</v>
      </c>
    </row>
    <row r="5449" spans="1:4">
      <c r="A5449" t="s">
        <v>17395</v>
      </c>
      <c r="B5449">
        <v>45487</v>
      </c>
      <c r="C5449" t="s">
        <v>17396</v>
      </c>
      <c r="D5449" t="s">
        <v>6168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11249</v>
      </c>
      <c r="B5451">
        <v>39580</v>
      </c>
      <c r="C5451" t="s">
        <v>9007</v>
      </c>
      <c r="D5451" t="s">
        <v>6168</v>
      </c>
    </row>
    <row r="5452" spans="1:4">
      <c r="A5452" t="s">
        <v>11250</v>
      </c>
      <c r="B5452">
        <v>39572</v>
      </c>
      <c r="C5452" t="s">
        <v>5759</v>
      </c>
      <c r="D5452" t="s">
        <v>6267</v>
      </c>
    </row>
    <row r="5453" spans="1:4">
      <c r="A5453" t="s">
        <v>17286</v>
      </c>
      <c r="B5453">
        <v>45381</v>
      </c>
      <c r="C5453" t="s">
        <v>1466</v>
      </c>
      <c r="D5453" t="s">
        <v>123</v>
      </c>
    </row>
    <row r="5454" spans="1:4">
      <c r="A5454" t="s">
        <v>17397</v>
      </c>
      <c r="B5454">
        <v>45488</v>
      </c>
      <c r="C5454" t="s">
        <v>4950</v>
      </c>
      <c r="D5454" t="s">
        <v>6168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11251</v>
      </c>
      <c r="B5457">
        <v>2504</v>
      </c>
      <c r="C5457" t="s">
        <v>11252</v>
      </c>
      <c r="D5457" t="s">
        <v>6168</v>
      </c>
    </row>
    <row r="5458" spans="1:4">
      <c r="A5458" t="s">
        <v>11253</v>
      </c>
      <c r="B5458">
        <v>2505</v>
      </c>
      <c r="C5458" t="s">
        <v>11108</v>
      </c>
      <c r="D5458" t="s">
        <v>6168</v>
      </c>
    </row>
    <row r="5459" spans="1:4">
      <c r="A5459" t="s">
        <v>11254</v>
      </c>
      <c r="B5459">
        <v>2506</v>
      </c>
      <c r="C5459" t="s">
        <v>6768</v>
      </c>
      <c r="D5459" t="s">
        <v>6168</v>
      </c>
    </row>
    <row r="5460" spans="1:4">
      <c r="A5460" t="s">
        <v>11255</v>
      </c>
      <c r="B5460">
        <v>2507</v>
      </c>
      <c r="C5460" t="s">
        <v>11110</v>
      </c>
      <c r="D5460" t="s">
        <v>6168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11256</v>
      </c>
      <c r="B5462">
        <v>2715</v>
      </c>
      <c r="C5462" t="s">
        <v>6417</v>
      </c>
      <c r="D5462" t="s">
        <v>6168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11257</v>
      </c>
      <c r="B5465">
        <v>3644</v>
      </c>
      <c r="C5465" t="s">
        <v>16679</v>
      </c>
      <c r="D5465" t="s">
        <v>6168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11258</v>
      </c>
      <c r="B5467">
        <v>2995</v>
      </c>
      <c r="C5467" t="s">
        <v>11259</v>
      </c>
      <c r="D5467" t="s">
        <v>6168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11260</v>
      </c>
      <c r="B5469">
        <v>22165</v>
      </c>
      <c r="C5469" t="s">
        <v>7145</v>
      </c>
      <c r="D5469" t="s">
        <v>6168</v>
      </c>
    </row>
    <row r="5470" spans="1:4">
      <c r="A5470" t="s">
        <v>11261</v>
      </c>
      <c r="B5470">
        <v>22166</v>
      </c>
      <c r="C5470" t="s">
        <v>10754</v>
      </c>
      <c r="D5470" t="s">
        <v>6168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11262</v>
      </c>
      <c r="B5473">
        <v>4001</v>
      </c>
      <c r="C5473" t="s">
        <v>11263</v>
      </c>
      <c r="D5473" t="s">
        <v>6168</v>
      </c>
    </row>
    <row r="5474" spans="1:4">
      <c r="A5474" t="s">
        <v>11264</v>
      </c>
      <c r="B5474">
        <v>3996</v>
      </c>
      <c r="C5474" t="s">
        <v>11265</v>
      </c>
      <c r="D5474" t="s">
        <v>6168</v>
      </c>
    </row>
    <row r="5475" spans="1:4">
      <c r="A5475" t="s">
        <v>11266</v>
      </c>
      <c r="B5475">
        <v>3997</v>
      </c>
      <c r="C5475" t="s">
        <v>6914</v>
      </c>
      <c r="D5475" t="s">
        <v>6168</v>
      </c>
    </row>
    <row r="5476" spans="1:4">
      <c r="A5476" t="s">
        <v>11267</v>
      </c>
      <c r="B5476">
        <v>3995</v>
      </c>
      <c r="C5476" t="s">
        <v>1466</v>
      </c>
      <c r="D5476" t="s">
        <v>6168</v>
      </c>
    </row>
    <row r="5477" spans="1:4">
      <c r="A5477" t="s">
        <v>11268</v>
      </c>
      <c r="B5477">
        <v>3998</v>
      </c>
      <c r="C5477" t="s">
        <v>11269</v>
      </c>
      <c r="D5477" t="s">
        <v>6168</v>
      </c>
    </row>
    <row r="5478" spans="1:4">
      <c r="A5478" t="s">
        <v>11270</v>
      </c>
      <c r="B5478">
        <v>3999</v>
      </c>
      <c r="C5478" t="s">
        <v>9411</v>
      </c>
      <c r="D5478" t="s">
        <v>6168</v>
      </c>
    </row>
    <row r="5479" spans="1:4">
      <c r="A5479" t="s">
        <v>11271</v>
      </c>
      <c r="B5479">
        <v>4000</v>
      </c>
      <c r="C5479" t="s">
        <v>4416</v>
      </c>
      <c r="D5479" t="s">
        <v>6168</v>
      </c>
    </row>
    <row r="5480" spans="1:4">
      <c r="A5480" t="s">
        <v>11272</v>
      </c>
      <c r="B5480">
        <v>43388</v>
      </c>
      <c r="D5480" t="s">
        <v>6230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11273</v>
      </c>
      <c r="B5482">
        <v>35393</v>
      </c>
      <c r="C5482" t="s">
        <v>11274</v>
      </c>
      <c r="D5482" t="s">
        <v>6168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11275</v>
      </c>
      <c r="B5484">
        <v>29351</v>
      </c>
      <c r="C5484" t="s">
        <v>11276</v>
      </c>
      <c r="D5484" t="s">
        <v>6168</v>
      </c>
    </row>
    <row r="5485" spans="1:4">
      <c r="A5485" t="s">
        <v>11277</v>
      </c>
      <c r="B5485">
        <v>30369</v>
      </c>
      <c r="C5485" t="s">
        <v>11278</v>
      </c>
      <c r="D5485" t="s">
        <v>6230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11279</v>
      </c>
      <c r="B5487">
        <v>27367</v>
      </c>
      <c r="C5487" t="s">
        <v>792</v>
      </c>
      <c r="D5487" t="s">
        <v>6168</v>
      </c>
    </row>
    <row r="5488" spans="1:4">
      <c r="A5488" t="s">
        <v>11280</v>
      </c>
      <c r="B5488">
        <v>22168</v>
      </c>
      <c r="C5488" t="s">
        <v>11281</v>
      </c>
      <c r="D5488" t="s">
        <v>6168</v>
      </c>
    </row>
    <row r="5489" spans="1:4">
      <c r="A5489" t="s">
        <v>11282</v>
      </c>
      <c r="B5489">
        <v>3323</v>
      </c>
      <c r="C5489" t="s">
        <v>8569</v>
      </c>
      <c r="D5489" t="s">
        <v>6605</v>
      </c>
    </row>
    <row r="5490" spans="1:4">
      <c r="A5490" t="s">
        <v>11283</v>
      </c>
      <c r="B5490">
        <v>23057</v>
      </c>
      <c r="C5490" t="s">
        <v>6874</v>
      </c>
      <c r="D5490" t="s">
        <v>6230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11284</v>
      </c>
      <c r="B5492">
        <v>35714</v>
      </c>
      <c r="C5492" t="s">
        <v>6190</v>
      </c>
      <c r="D5492" t="s">
        <v>6168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11285</v>
      </c>
      <c r="B5495">
        <v>41734</v>
      </c>
      <c r="C5495" t="s">
        <v>7005</v>
      </c>
      <c r="D5495" t="s">
        <v>6168</v>
      </c>
    </row>
    <row r="5496" spans="1:4">
      <c r="A5496" t="s">
        <v>17520</v>
      </c>
      <c r="B5496">
        <v>45941</v>
      </c>
      <c r="C5496" t="s">
        <v>17521</v>
      </c>
      <c r="D5496" t="s">
        <v>123</v>
      </c>
    </row>
    <row r="5497" spans="1:4">
      <c r="A5497" t="s">
        <v>17550</v>
      </c>
      <c r="B5497">
        <v>45984</v>
      </c>
      <c r="C5497" t="s">
        <v>17551</v>
      </c>
      <c r="D5497" t="s">
        <v>6168</v>
      </c>
    </row>
    <row r="5498" spans="1:4">
      <c r="A5498" t="s">
        <v>17452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11286</v>
      </c>
      <c r="B5500">
        <v>22170</v>
      </c>
      <c r="C5500" t="s">
        <v>6924</v>
      </c>
      <c r="D5500" t="s">
        <v>6168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11287</v>
      </c>
      <c r="B5502">
        <v>35074</v>
      </c>
      <c r="C5502" t="s">
        <v>11288</v>
      </c>
      <c r="D5502" t="s">
        <v>6168</v>
      </c>
    </row>
    <row r="5503" spans="1:4">
      <c r="A5503" t="s">
        <v>11289</v>
      </c>
      <c r="B5503">
        <v>29691</v>
      </c>
      <c r="C5503" t="s">
        <v>11290</v>
      </c>
      <c r="D5503" t="s">
        <v>6168</v>
      </c>
    </row>
    <row r="5504" spans="1:4">
      <c r="A5504" t="s">
        <v>17287</v>
      </c>
      <c r="B5504">
        <v>45382</v>
      </c>
      <c r="C5504" t="s">
        <v>11288</v>
      </c>
      <c r="D5504" t="s">
        <v>6168</v>
      </c>
    </row>
    <row r="5505" spans="1:4">
      <c r="A5505" t="s">
        <v>11291</v>
      </c>
      <c r="B5505">
        <v>29716</v>
      </c>
      <c r="C5505" t="s">
        <v>4259</v>
      </c>
      <c r="D5505" t="s">
        <v>6168</v>
      </c>
    </row>
    <row r="5506" spans="1:4">
      <c r="A5506" t="s">
        <v>11292</v>
      </c>
      <c r="B5506">
        <v>29701</v>
      </c>
      <c r="C5506" t="s">
        <v>2930</v>
      </c>
      <c r="D5506" t="s">
        <v>6168</v>
      </c>
    </row>
    <row r="5507" spans="1:4">
      <c r="A5507" t="s">
        <v>11293</v>
      </c>
      <c r="B5507">
        <v>31305</v>
      </c>
      <c r="C5507" t="s">
        <v>11294</v>
      </c>
      <c r="D5507" t="s">
        <v>6168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11295</v>
      </c>
      <c r="B5509">
        <v>26279</v>
      </c>
      <c r="D5509" t="s">
        <v>6314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11296</v>
      </c>
      <c r="B5511">
        <v>35106</v>
      </c>
      <c r="C5511" t="s">
        <v>11297</v>
      </c>
      <c r="D5511" t="s">
        <v>6168</v>
      </c>
    </row>
    <row r="5512" spans="1:4">
      <c r="A5512" t="s">
        <v>11298</v>
      </c>
      <c r="B5512">
        <v>30243</v>
      </c>
      <c r="C5512" t="s">
        <v>3079</v>
      </c>
      <c r="D5512" t="s">
        <v>6168</v>
      </c>
    </row>
    <row r="5513" spans="1:4">
      <c r="A5513" t="s">
        <v>11299</v>
      </c>
      <c r="B5513">
        <v>24701</v>
      </c>
      <c r="C5513" t="s">
        <v>3196</v>
      </c>
      <c r="D5513" t="s">
        <v>6168</v>
      </c>
    </row>
    <row r="5514" spans="1:4">
      <c r="A5514" t="s">
        <v>11300</v>
      </c>
      <c r="B5514">
        <v>24702</v>
      </c>
      <c r="C5514" t="s">
        <v>3079</v>
      </c>
      <c r="D5514" t="s">
        <v>6168</v>
      </c>
    </row>
    <row r="5515" spans="1:4">
      <c r="A5515" t="s">
        <v>11301</v>
      </c>
      <c r="B5515">
        <v>24703</v>
      </c>
      <c r="C5515" t="s">
        <v>2801</v>
      </c>
      <c r="D5515" t="s">
        <v>6168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11302</v>
      </c>
      <c r="B5518">
        <v>278</v>
      </c>
      <c r="D5518" t="s">
        <v>6168</v>
      </c>
    </row>
    <row r="5519" spans="1:4">
      <c r="A5519" t="s">
        <v>11303</v>
      </c>
      <c r="B5519">
        <v>23764</v>
      </c>
      <c r="C5519" t="s">
        <v>692</v>
      </c>
      <c r="D5519" t="s">
        <v>6322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11304</v>
      </c>
      <c r="B5521">
        <v>29208</v>
      </c>
      <c r="C5521" t="s">
        <v>4950</v>
      </c>
      <c r="D5521" t="s">
        <v>6168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11305</v>
      </c>
      <c r="B5523">
        <v>35079</v>
      </c>
      <c r="C5523" t="s">
        <v>2691</v>
      </c>
      <c r="D5523" t="s">
        <v>6168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11306</v>
      </c>
      <c r="B5525">
        <v>40512</v>
      </c>
      <c r="C5525" t="s">
        <v>1073</v>
      </c>
      <c r="D5525" t="s">
        <v>6314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11307</v>
      </c>
      <c r="B5527">
        <v>23765</v>
      </c>
      <c r="C5527" t="s">
        <v>7922</v>
      </c>
      <c r="D5527" t="s">
        <v>6168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11308</v>
      </c>
      <c r="B5529">
        <v>25481</v>
      </c>
      <c r="C5529" t="s">
        <v>2374</v>
      </c>
      <c r="D5529" t="s">
        <v>6168</v>
      </c>
    </row>
    <row r="5530" spans="1:4">
      <c r="A5530" t="s">
        <v>11309</v>
      </c>
      <c r="B5530">
        <v>30301</v>
      </c>
      <c r="C5530" t="s">
        <v>8477</v>
      </c>
      <c r="D5530" t="s">
        <v>6168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11310</v>
      </c>
      <c r="B5532">
        <v>24705</v>
      </c>
      <c r="C5532" t="s">
        <v>6229</v>
      </c>
      <c r="D5532" t="s">
        <v>6230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11311</v>
      </c>
      <c r="B5534">
        <v>25819</v>
      </c>
      <c r="C5534" t="s">
        <v>7712</v>
      </c>
      <c r="D5534" t="s">
        <v>6168</v>
      </c>
    </row>
    <row r="5535" spans="1:4">
      <c r="A5535" t="s">
        <v>11312</v>
      </c>
      <c r="B5535">
        <v>22171</v>
      </c>
      <c r="C5535" t="s">
        <v>7712</v>
      </c>
      <c r="D5535" t="s">
        <v>6168</v>
      </c>
    </row>
    <row r="5536" spans="1:4">
      <c r="A5536" t="s">
        <v>11313</v>
      </c>
      <c r="B5536">
        <v>25820</v>
      </c>
      <c r="C5536" t="s">
        <v>7712</v>
      </c>
      <c r="D5536" t="s">
        <v>6168</v>
      </c>
    </row>
    <row r="5537" spans="1:4">
      <c r="A5537" t="s">
        <v>11314</v>
      </c>
      <c r="B5537">
        <v>25818</v>
      </c>
      <c r="C5537" t="s">
        <v>7712</v>
      </c>
      <c r="D5537" t="s">
        <v>6168</v>
      </c>
    </row>
    <row r="5538" spans="1:4">
      <c r="A5538" t="s">
        <v>11315</v>
      </c>
      <c r="B5538">
        <v>2627</v>
      </c>
      <c r="C5538" t="s">
        <v>11316</v>
      </c>
      <c r="D5538" t="s">
        <v>6168</v>
      </c>
    </row>
    <row r="5539" spans="1:4">
      <c r="A5539" t="s">
        <v>11317</v>
      </c>
      <c r="B5539">
        <v>25817</v>
      </c>
      <c r="C5539" t="s">
        <v>7712</v>
      </c>
      <c r="D5539" t="s">
        <v>6168</v>
      </c>
    </row>
    <row r="5540" spans="1:4">
      <c r="A5540" t="s">
        <v>11318</v>
      </c>
      <c r="B5540">
        <v>22172</v>
      </c>
      <c r="C5540" t="s">
        <v>709</v>
      </c>
      <c r="D5540" t="s">
        <v>6168</v>
      </c>
    </row>
    <row r="5541" spans="1:4">
      <c r="A5541" t="s">
        <v>11319</v>
      </c>
      <c r="B5541">
        <v>2628</v>
      </c>
      <c r="C5541" t="s">
        <v>7124</v>
      </c>
      <c r="D5541" t="s">
        <v>6168</v>
      </c>
    </row>
    <row r="5542" spans="1:4">
      <c r="A5542" t="s">
        <v>11320</v>
      </c>
      <c r="B5542">
        <v>22173</v>
      </c>
      <c r="C5542" t="s">
        <v>11321</v>
      </c>
      <c r="D5542" t="s">
        <v>6168</v>
      </c>
    </row>
    <row r="5543" spans="1:4">
      <c r="A5543" t="s">
        <v>11322</v>
      </c>
      <c r="B5543">
        <v>25816</v>
      </c>
      <c r="C5543" t="s">
        <v>7712</v>
      </c>
      <c r="D5543" t="s">
        <v>6168</v>
      </c>
    </row>
    <row r="5544" spans="1:4">
      <c r="A5544" t="s">
        <v>11323</v>
      </c>
      <c r="B5544">
        <v>2629</v>
      </c>
      <c r="C5544" t="s">
        <v>7933</v>
      </c>
      <c r="D5544" t="s">
        <v>6168</v>
      </c>
    </row>
    <row r="5545" spans="1:4">
      <c r="A5545" t="s">
        <v>11324</v>
      </c>
      <c r="B5545">
        <v>20458</v>
      </c>
      <c r="C5545" t="s">
        <v>11325</v>
      </c>
      <c r="D5545" t="s">
        <v>6168</v>
      </c>
    </row>
    <row r="5546" spans="1:4">
      <c r="A5546" t="s">
        <v>11326</v>
      </c>
      <c r="B5546">
        <v>25815</v>
      </c>
      <c r="C5546" t="s">
        <v>9703</v>
      </c>
      <c r="D5546" t="s">
        <v>6168</v>
      </c>
    </row>
    <row r="5547" spans="1:4">
      <c r="A5547" t="s">
        <v>11327</v>
      </c>
      <c r="B5547">
        <v>22174</v>
      </c>
      <c r="C5547" t="s">
        <v>11328</v>
      </c>
      <c r="D5547" t="s">
        <v>6267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11329</v>
      </c>
      <c r="B5549">
        <v>39571</v>
      </c>
      <c r="C5549" t="s">
        <v>1223</v>
      </c>
      <c r="D5549" t="s">
        <v>6267</v>
      </c>
    </row>
    <row r="5550" spans="1:4">
      <c r="A5550" t="s">
        <v>11330</v>
      </c>
      <c r="B5550">
        <v>40511</v>
      </c>
      <c r="C5550" t="s">
        <v>1223</v>
      </c>
      <c r="D5550" t="s">
        <v>6305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11331</v>
      </c>
      <c r="B5552">
        <v>34182</v>
      </c>
      <c r="C5552" t="s">
        <v>11332</v>
      </c>
      <c r="D5552" t="s">
        <v>6168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11333</v>
      </c>
      <c r="B5554">
        <v>3706</v>
      </c>
      <c r="C5554" t="s">
        <v>4055</v>
      </c>
      <c r="D5554" t="s">
        <v>6168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11334</v>
      </c>
      <c r="B5557">
        <v>139</v>
      </c>
      <c r="C5557" t="s">
        <v>1869</v>
      </c>
      <c r="D5557" t="s">
        <v>6168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11335</v>
      </c>
      <c r="B5559">
        <v>23577</v>
      </c>
      <c r="C5559" t="s">
        <v>6558</v>
      </c>
      <c r="D5559" t="s">
        <v>6168</v>
      </c>
    </row>
    <row r="5560" spans="1:4">
      <c r="A5560" t="s">
        <v>11336</v>
      </c>
      <c r="B5560">
        <v>41779</v>
      </c>
      <c r="C5560" t="s">
        <v>4950</v>
      </c>
      <c r="D5560" t="s">
        <v>6168</v>
      </c>
    </row>
    <row r="5561" spans="1:4">
      <c r="A5561" t="s">
        <v>11337</v>
      </c>
      <c r="B5561">
        <v>22176</v>
      </c>
      <c r="C5561" t="s">
        <v>11338</v>
      </c>
      <c r="D5561" t="s">
        <v>6168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11339</v>
      </c>
      <c r="B5564">
        <v>398</v>
      </c>
      <c r="C5564" t="s">
        <v>11340</v>
      </c>
      <c r="D5564" t="s">
        <v>6168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11341</v>
      </c>
      <c r="B5567">
        <v>141</v>
      </c>
      <c r="C5567" t="s">
        <v>11342</v>
      </c>
      <c r="D5567" t="s">
        <v>6168</v>
      </c>
    </row>
    <row r="5568" spans="1:4">
      <c r="A5568" t="s">
        <v>11343</v>
      </c>
      <c r="B5568">
        <v>142</v>
      </c>
      <c r="D5568" t="s">
        <v>6168</v>
      </c>
    </row>
    <row r="5569" spans="1:4">
      <c r="A5569" t="s">
        <v>11344</v>
      </c>
      <c r="B5569">
        <v>143</v>
      </c>
      <c r="C5569" t="s">
        <v>11345</v>
      </c>
      <c r="D5569" t="s">
        <v>6168</v>
      </c>
    </row>
    <row r="5570" spans="1:4">
      <c r="A5570" t="s">
        <v>11346</v>
      </c>
      <c r="B5570">
        <v>144</v>
      </c>
      <c r="C5570" t="s">
        <v>9625</v>
      </c>
      <c r="D5570" t="s">
        <v>6168</v>
      </c>
    </row>
    <row r="5571" spans="1:4">
      <c r="A5571" t="s">
        <v>11347</v>
      </c>
      <c r="B5571">
        <v>2262</v>
      </c>
      <c r="C5571" t="s">
        <v>8366</v>
      </c>
      <c r="D5571" t="s">
        <v>6168</v>
      </c>
    </row>
    <row r="5572" spans="1:4">
      <c r="A5572" t="s">
        <v>11348</v>
      </c>
      <c r="B5572">
        <v>2263</v>
      </c>
      <c r="C5572" t="s">
        <v>11349</v>
      </c>
      <c r="D5572" t="s">
        <v>6168</v>
      </c>
    </row>
    <row r="5573" spans="1:4">
      <c r="A5573" t="s">
        <v>11350</v>
      </c>
      <c r="B5573">
        <v>145</v>
      </c>
      <c r="C5573" t="s">
        <v>11342</v>
      </c>
      <c r="D5573" t="s">
        <v>6168</v>
      </c>
    </row>
    <row r="5574" spans="1:4">
      <c r="A5574" t="s">
        <v>11351</v>
      </c>
      <c r="B5574">
        <v>146</v>
      </c>
      <c r="C5574" t="s">
        <v>11352</v>
      </c>
      <c r="D5574" t="s">
        <v>6168</v>
      </c>
    </row>
    <row r="5575" spans="1:4">
      <c r="A5575" t="s">
        <v>11353</v>
      </c>
      <c r="B5575">
        <v>147</v>
      </c>
      <c r="C5575" t="s">
        <v>11342</v>
      </c>
      <c r="D5575" t="s">
        <v>6168</v>
      </c>
    </row>
    <row r="5576" spans="1:4">
      <c r="A5576" t="s">
        <v>11354</v>
      </c>
      <c r="B5576">
        <v>148</v>
      </c>
      <c r="C5576" t="s">
        <v>7589</v>
      </c>
      <c r="D5576" t="s">
        <v>6168</v>
      </c>
    </row>
    <row r="5577" spans="1:4">
      <c r="A5577" t="s">
        <v>11355</v>
      </c>
      <c r="B5577">
        <v>149</v>
      </c>
      <c r="C5577" t="s">
        <v>11356</v>
      </c>
      <c r="D5577" t="s">
        <v>6168</v>
      </c>
    </row>
    <row r="5578" spans="1:4">
      <c r="A5578" t="s">
        <v>17453</v>
      </c>
      <c r="B5578">
        <v>45744</v>
      </c>
      <c r="C5578" t="s">
        <v>5870</v>
      </c>
      <c r="D5578" t="s">
        <v>123</v>
      </c>
    </row>
    <row r="5579" spans="1:4">
      <c r="A5579" t="s">
        <v>11357</v>
      </c>
      <c r="B5579">
        <v>3165</v>
      </c>
      <c r="C5579" t="s">
        <v>5360</v>
      </c>
      <c r="D5579" t="s">
        <v>6245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11358</v>
      </c>
      <c r="B5581">
        <v>41675</v>
      </c>
      <c r="C5581" t="s">
        <v>6330</v>
      </c>
      <c r="D5581" t="s">
        <v>6168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11359</v>
      </c>
      <c r="B5583">
        <v>31212</v>
      </c>
      <c r="C5583" t="s">
        <v>7589</v>
      </c>
      <c r="D5583" t="s">
        <v>6168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11360</v>
      </c>
      <c r="B5586">
        <v>22179</v>
      </c>
      <c r="C5586" t="s">
        <v>11361</v>
      </c>
      <c r="D5586" t="s">
        <v>6168</v>
      </c>
    </row>
    <row r="5587" spans="1:4">
      <c r="A5587" t="s">
        <v>11362</v>
      </c>
      <c r="B5587">
        <v>22180</v>
      </c>
      <c r="C5587" t="s">
        <v>11363</v>
      </c>
      <c r="D5587" t="s">
        <v>6168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11364</v>
      </c>
      <c r="B5589">
        <v>2279</v>
      </c>
      <c r="C5589" t="s">
        <v>11365</v>
      </c>
      <c r="D5589" t="s">
        <v>6168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11366</v>
      </c>
      <c r="B5591">
        <v>42967</v>
      </c>
      <c r="C5591" t="s">
        <v>148</v>
      </c>
      <c r="D5591" t="s">
        <v>6248</v>
      </c>
    </row>
    <row r="5592" spans="1:4">
      <c r="A5592" t="s">
        <v>11367</v>
      </c>
      <c r="B5592">
        <v>31087</v>
      </c>
      <c r="C5592" t="s">
        <v>11368</v>
      </c>
      <c r="D5592" t="s">
        <v>6168</v>
      </c>
    </row>
    <row r="5593" spans="1:4">
      <c r="A5593" t="s">
        <v>11369</v>
      </c>
      <c r="B5593">
        <v>43481</v>
      </c>
      <c r="C5593" t="s">
        <v>11370</v>
      </c>
      <c r="D5593" t="s">
        <v>6168</v>
      </c>
    </row>
    <row r="5594" spans="1:4">
      <c r="A5594" t="s">
        <v>11371</v>
      </c>
      <c r="B5594">
        <v>5099</v>
      </c>
      <c r="C5594" t="s">
        <v>11368</v>
      </c>
      <c r="D5594" t="s">
        <v>6168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11372</v>
      </c>
      <c r="B5596">
        <v>24706</v>
      </c>
      <c r="C5596" t="s">
        <v>148</v>
      </c>
      <c r="D5596" t="s">
        <v>6168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11373</v>
      </c>
      <c r="B5598">
        <v>23766</v>
      </c>
      <c r="C5598" t="s">
        <v>203</v>
      </c>
      <c r="D5598" t="s">
        <v>6314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11374</v>
      </c>
      <c r="B5600">
        <v>40858</v>
      </c>
      <c r="C5600" t="s">
        <v>11375</v>
      </c>
      <c r="D5600" t="s">
        <v>6168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11376</v>
      </c>
      <c r="B5602">
        <v>35300</v>
      </c>
      <c r="C5602" t="s">
        <v>4950</v>
      </c>
      <c r="D5602" t="s">
        <v>6168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11377</v>
      </c>
      <c r="B5605">
        <v>24707</v>
      </c>
      <c r="C5605" t="s">
        <v>11378</v>
      </c>
      <c r="D5605" t="s">
        <v>6248</v>
      </c>
    </row>
    <row r="5606" spans="1:4">
      <c r="A5606" t="s">
        <v>11379</v>
      </c>
      <c r="B5606">
        <v>25157</v>
      </c>
      <c r="C5606" t="s">
        <v>1899</v>
      </c>
      <c r="D5606" t="s">
        <v>6168</v>
      </c>
    </row>
    <row r="5607" spans="1:4">
      <c r="A5607" t="s">
        <v>11380</v>
      </c>
      <c r="B5607">
        <v>39704</v>
      </c>
      <c r="C5607" t="s">
        <v>6719</v>
      </c>
      <c r="D5607" t="s">
        <v>6168</v>
      </c>
    </row>
    <row r="5608" spans="1:4">
      <c r="A5608" t="s">
        <v>11381</v>
      </c>
      <c r="B5608">
        <v>34020</v>
      </c>
      <c r="C5608" t="s">
        <v>11382</v>
      </c>
      <c r="D5608" t="s">
        <v>6305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11383</v>
      </c>
      <c r="B5610">
        <v>30251</v>
      </c>
      <c r="C5610" t="s">
        <v>6596</v>
      </c>
      <c r="D5610" t="s">
        <v>6168</v>
      </c>
    </row>
    <row r="5611" spans="1:4">
      <c r="A5611" t="s">
        <v>11384</v>
      </c>
      <c r="B5611">
        <v>24708</v>
      </c>
      <c r="C5611" t="s">
        <v>3113</v>
      </c>
      <c r="D5611" t="s">
        <v>6168</v>
      </c>
    </row>
    <row r="5612" spans="1:4">
      <c r="A5612" t="s">
        <v>11385</v>
      </c>
      <c r="B5612">
        <v>23767</v>
      </c>
      <c r="C5612" t="s">
        <v>11386</v>
      </c>
      <c r="D5612" t="s">
        <v>6168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11387</v>
      </c>
      <c r="B5614">
        <v>24179</v>
      </c>
      <c r="C5614" t="s">
        <v>6190</v>
      </c>
      <c r="D5614" t="s">
        <v>6168</v>
      </c>
    </row>
    <row r="5615" spans="1:4">
      <c r="A5615" t="s">
        <v>11388</v>
      </c>
      <c r="B5615">
        <v>42065</v>
      </c>
      <c r="C5615" t="s">
        <v>11389</v>
      </c>
      <c r="D5615" t="s">
        <v>6168</v>
      </c>
    </row>
    <row r="5616" spans="1:4">
      <c r="A5616" t="s">
        <v>11390</v>
      </c>
      <c r="B5616">
        <v>29717</v>
      </c>
      <c r="C5616" t="s">
        <v>11391</v>
      </c>
      <c r="D5616" t="s">
        <v>6168</v>
      </c>
    </row>
    <row r="5617" spans="1:4">
      <c r="A5617" t="s">
        <v>11392</v>
      </c>
      <c r="B5617">
        <v>26262</v>
      </c>
      <c r="C5617" t="s">
        <v>11393</v>
      </c>
      <c r="D5617" t="s">
        <v>6168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11394</v>
      </c>
      <c r="B5619">
        <v>4054</v>
      </c>
      <c r="C5619" t="s">
        <v>3986</v>
      </c>
      <c r="D5619" t="s">
        <v>6168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11395</v>
      </c>
      <c r="B5623">
        <v>35118</v>
      </c>
      <c r="C5623" t="s">
        <v>4474</v>
      </c>
      <c r="D5623" t="s">
        <v>6168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11396</v>
      </c>
      <c r="B5625">
        <v>24709</v>
      </c>
      <c r="C5625" t="s">
        <v>1899</v>
      </c>
      <c r="D5625" t="s">
        <v>6168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11397</v>
      </c>
      <c r="B5627">
        <v>20480</v>
      </c>
      <c r="C5627" t="s">
        <v>11398</v>
      </c>
      <c r="D5627" t="s">
        <v>6168</v>
      </c>
    </row>
    <row r="5628" spans="1:4">
      <c r="A5628" t="s">
        <v>17070</v>
      </c>
      <c r="B5628">
        <v>44326</v>
      </c>
      <c r="C5628" t="s">
        <v>14214</v>
      </c>
      <c r="D5628" t="s">
        <v>123</v>
      </c>
    </row>
    <row r="5629" spans="1:4">
      <c r="A5629" t="s">
        <v>17126</v>
      </c>
      <c r="B5629">
        <v>44385</v>
      </c>
      <c r="C5629" t="s">
        <v>17127</v>
      </c>
      <c r="D5629" t="s">
        <v>6168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11399</v>
      </c>
      <c r="B5631">
        <v>26258</v>
      </c>
      <c r="C5631" t="s">
        <v>6914</v>
      </c>
      <c r="D5631" t="s">
        <v>6168</v>
      </c>
    </row>
    <row r="5632" spans="1:4">
      <c r="A5632" t="s">
        <v>11400</v>
      </c>
      <c r="B5632">
        <v>26255</v>
      </c>
      <c r="C5632" t="s">
        <v>11401</v>
      </c>
      <c r="D5632" t="s">
        <v>6168</v>
      </c>
    </row>
    <row r="5633" spans="1:4">
      <c r="A5633" t="s">
        <v>11402</v>
      </c>
      <c r="B5633">
        <v>24710</v>
      </c>
      <c r="C5633" t="s">
        <v>4950</v>
      </c>
      <c r="D5633" t="s">
        <v>6168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11403</v>
      </c>
      <c r="B5636">
        <v>31145</v>
      </c>
      <c r="C5636" t="s">
        <v>8163</v>
      </c>
      <c r="D5636" t="s">
        <v>6168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11404</v>
      </c>
      <c r="B5638">
        <v>29815</v>
      </c>
      <c r="C5638" t="s">
        <v>3199</v>
      </c>
      <c r="D5638" t="s">
        <v>6230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11405</v>
      </c>
      <c r="B5641">
        <v>25159</v>
      </c>
      <c r="C5641" t="s">
        <v>6985</v>
      </c>
      <c r="D5641" t="s">
        <v>6168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11406</v>
      </c>
      <c r="B5643">
        <v>25160</v>
      </c>
      <c r="C5643" t="s">
        <v>6194</v>
      </c>
      <c r="D5643" t="s">
        <v>6168</v>
      </c>
    </row>
    <row r="5644" spans="1:4">
      <c r="A5644" t="s">
        <v>11407</v>
      </c>
      <c r="B5644">
        <v>9800</v>
      </c>
      <c r="C5644" t="s">
        <v>11408</v>
      </c>
      <c r="D5644" t="s">
        <v>6168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16865</v>
      </c>
      <c r="B5647">
        <v>43925</v>
      </c>
      <c r="C5647" t="s">
        <v>16866</v>
      </c>
      <c r="D5647" t="s">
        <v>6245</v>
      </c>
    </row>
    <row r="5648" spans="1:4">
      <c r="A5648" t="s">
        <v>11409</v>
      </c>
      <c r="B5648">
        <v>9801</v>
      </c>
      <c r="C5648" t="s">
        <v>11410</v>
      </c>
      <c r="D5648" t="s">
        <v>6168</v>
      </c>
    </row>
    <row r="5649" spans="1:4">
      <c r="A5649" t="s">
        <v>11411</v>
      </c>
      <c r="B5649">
        <v>10188</v>
      </c>
      <c r="D5649" t="s">
        <v>10633</v>
      </c>
    </row>
    <row r="5650" spans="1:4">
      <c r="A5650" t="s">
        <v>11412</v>
      </c>
      <c r="B5650">
        <v>9802</v>
      </c>
      <c r="C5650" t="s">
        <v>11413</v>
      </c>
      <c r="D5650" t="s">
        <v>6168</v>
      </c>
    </row>
    <row r="5651" spans="1:4">
      <c r="A5651" t="s">
        <v>11414</v>
      </c>
      <c r="B5651">
        <v>39768</v>
      </c>
      <c r="C5651" t="s">
        <v>11415</v>
      </c>
      <c r="D5651" t="s">
        <v>6241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11416</v>
      </c>
      <c r="B5655">
        <v>19338</v>
      </c>
      <c r="D5655" t="s">
        <v>6168</v>
      </c>
    </row>
    <row r="5656" spans="1:4">
      <c r="A5656" t="s">
        <v>11417</v>
      </c>
      <c r="B5656">
        <v>19339</v>
      </c>
      <c r="D5656" t="s">
        <v>6168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11418</v>
      </c>
      <c r="B5658">
        <v>30773</v>
      </c>
      <c r="C5658" t="s">
        <v>4950</v>
      </c>
      <c r="D5658" t="s">
        <v>6168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11419</v>
      </c>
      <c r="B5667">
        <v>24183</v>
      </c>
      <c r="C5667" t="s">
        <v>6194</v>
      </c>
      <c r="D5667" t="s">
        <v>6168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11420</v>
      </c>
      <c r="B5669">
        <v>22182</v>
      </c>
      <c r="C5669" t="s">
        <v>7102</v>
      </c>
      <c r="D5669" t="s">
        <v>6168</v>
      </c>
    </row>
    <row r="5670" spans="1:4">
      <c r="A5670" t="s">
        <v>11421</v>
      </c>
      <c r="B5670">
        <v>22183</v>
      </c>
      <c r="C5670" t="s">
        <v>11422</v>
      </c>
      <c r="D5670" t="s">
        <v>6168</v>
      </c>
    </row>
    <row r="5671" spans="1:4">
      <c r="A5671" t="s">
        <v>11423</v>
      </c>
      <c r="B5671">
        <v>22184</v>
      </c>
      <c r="C5671" t="s">
        <v>8782</v>
      </c>
      <c r="D5671" t="s">
        <v>6168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11424</v>
      </c>
      <c r="B5673">
        <v>3751</v>
      </c>
      <c r="C5673" t="s">
        <v>9233</v>
      </c>
      <c r="D5673" t="s">
        <v>6168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11425</v>
      </c>
      <c r="B5675">
        <v>24714</v>
      </c>
      <c r="C5675" t="s">
        <v>10111</v>
      </c>
      <c r="D5675" t="s">
        <v>6168</v>
      </c>
    </row>
    <row r="5676" spans="1:4">
      <c r="A5676" t="s">
        <v>11426</v>
      </c>
      <c r="B5676">
        <v>24715</v>
      </c>
      <c r="C5676" t="s">
        <v>11427</v>
      </c>
      <c r="D5676" t="s">
        <v>6168</v>
      </c>
    </row>
    <row r="5677" spans="1:4">
      <c r="A5677" t="s">
        <v>11428</v>
      </c>
      <c r="B5677">
        <v>35132</v>
      </c>
      <c r="C5677" t="s">
        <v>11429</v>
      </c>
      <c r="D5677" t="s">
        <v>6168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11430</v>
      </c>
      <c r="B5679">
        <v>32285</v>
      </c>
      <c r="D5679" t="s">
        <v>6168</v>
      </c>
    </row>
    <row r="5680" spans="1:4">
      <c r="A5680" t="s">
        <v>17098</v>
      </c>
      <c r="B5680">
        <v>44351</v>
      </c>
      <c r="C5680" t="s">
        <v>17099</v>
      </c>
      <c r="D5680" t="s">
        <v>6168</v>
      </c>
    </row>
    <row r="5681" spans="1:4">
      <c r="A5681" t="s">
        <v>11431</v>
      </c>
      <c r="B5681">
        <v>30823</v>
      </c>
      <c r="C5681" t="s">
        <v>6269</v>
      </c>
      <c r="D5681" t="s">
        <v>6168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11432</v>
      </c>
      <c r="B5683">
        <v>25337</v>
      </c>
      <c r="C5683" t="s">
        <v>9179</v>
      </c>
      <c r="D5683" t="s">
        <v>6168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11433</v>
      </c>
      <c r="B5685">
        <v>9834</v>
      </c>
      <c r="C5685" t="s">
        <v>11434</v>
      </c>
      <c r="D5685" t="s">
        <v>6305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11435</v>
      </c>
      <c r="B5687">
        <v>2524</v>
      </c>
      <c r="C5687" t="s">
        <v>11436</v>
      </c>
      <c r="D5687" t="s">
        <v>6168</v>
      </c>
    </row>
    <row r="5688" spans="1:4">
      <c r="A5688" t="s">
        <v>11437</v>
      </c>
      <c r="B5688">
        <v>2525</v>
      </c>
      <c r="C5688" t="s">
        <v>11438</v>
      </c>
      <c r="D5688" t="s">
        <v>6168</v>
      </c>
    </row>
    <row r="5689" spans="1:4">
      <c r="A5689" t="s">
        <v>11439</v>
      </c>
      <c r="B5689">
        <v>2526</v>
      </c>
      <c r="C5689" t="s">
        <v>11440</v>
      </c>
      <c r="D5689" t="s">
        <v>6168</v>
      </c>
    </row>
    <row r="5690" spans="1:4">
      <c r="A5690" t="s">
        <v>11441</v>
      </c>
      <c r="B5690">
        <v>2527</v>
      </c>
      <c r="C5690" t="s">
        <v>10660</v>
      </c>
      <c r="D5690" t="s">
        <v>6168</v>
      </c>
    </row>
    <row r="5691" spans="1:4">
      <c r="A5691" t="s">
        <v>11442</v>
      </c>
      <c r="B5691">
        <v>2528</v>
      </c>
      <c r="C5691" t="s">
        <v>11443</v>
      </c>
      <c r="D5691" t="s">
        <v>6168</v>
      </c>
    </row>
    <row r="5692" spans="1:4">
      <c r="A5692" t="s">
        <v>11444</v>
      </c>
      <c r="B5692">
        <v>31751</v>
      </c>
      <c r="C5692" t="s">
        <v>11445</v>
      </c>
      <c r="D5692" t="s">
        <v>6168</v>
      </c>
    </row>
    <row r="5693" spans="1:4">
      <c r="A5693" t="s">
        <v>11446</v>
      </c>
      <c r="B5693">
        <v>2531</v>
      </c>
      <c r="C5693" t="s">
        <v>11447</v>
      </c>
      <c r="D5693" t="s">
        <v>6168</v>
      </c>
    </row>
    <row r="5694" spans="1:4">
      <c r="A5694" t="s">
        <v>11448</v>
      </c>
      <c r="B5694">
        <v>2529</v>
      </c>
      <c r="C5694" t="s">
        <v>11449</v>
      </c>
      <c r="D5694" t="s">
        <v>6168</v>
      </c>
    </row>
    <row r="5695" spans="1:4">
      <c r="A5695" t="s">
        <v>11450</v>
      </c>
      <c r="B5695">
        <v>32526</v>
      </c>
      <c r="C5695" t="s">
        <v>11451</v>
      </c>
      <c r="D5695" t="s">
        <v>6168</v>
      </c>
    </row>
    <row r="5696" spans="1:4">
      <c r="A5696" t="s">
        <v>11452</v>
      </c>
      <c r="B5696">
        <v>2530</v>
      </c>
      <c r="C5696" t="s">
        <v>6417</v>
      </c>
      <c r="D5696" t="s">
        <v>6168</v>
      </c>
    </row>
    <row r="5697" spans="1:4">
      <c r="A5697" t="s">
        <v>11453</v>
      </c>
      <c r="B5697">
        <v>2532</v>
      </c>
      <c r="C5697" t="s">
        <v>11440</v>
      </c>
      <c r="D5697" t="s">
        <v>6168</v>
      </c>
    </row>
    <row r="5698" spans="1:4">
      <c r="A5698" t="s">
        <v>11454</v>
      </c>
      <c r="B5698">
        <v>2533</v>
      </c>
      <c r="C5698" t="s">
        <v>11455</v>
      </c>
      <c r="D5698" t="s">
        <v>6168</v>
      </c>
    </row>
    <row r="5699" spans="1:4">
      <c r="A5699" t="s">
        <v>11456</v>
      </c>
      <c r="B5699">
        <v>32573</v>
      </c>
      <c r="C5699" t="s">
        <v>11451</v>
      </c>
      <c r="D5699" t="s">
        <v>6168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11457</v>
      </c>
      <c r="B5701">
        <v>2394</v>
      </c>
      <c r="C5701" t="s">
        <v>8220</v>
      </c>
      <c r="D5701" t="s">
        <v>6267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11458</v>
      </c>
      <c r="B5703">
        <v>2498</v>
      </c>
      <c r="C5703" t="s">
        <v>11459</v>
      </c>
      <c r="D5703" t="s">
        <v>6168</v>
      </c>
    </row>
    <row r="5704" spans="1:4">
      <c r="A5704" t="s">
        <v>11460</v>
      </c>
      <c r="B5704">
        <v>2499</v>
      </c>
      <c r="C5704" t="s">
        <v>6417</v>
      </c>
      <c r="D5704" t="s">
        <v>6168</v>
      </c>
    </row>
    <row r="5705" spans="1:4">
      <c r="A5705" t="s">
        <v>11461</v>
      </c>
      <c r="B5705">
        <v>2500</v>
      </c>
      <c r="D5705" t="s">
        <v>6168</v>
      </c>
    </row>
    <row r="5706" spans="1:4">
      <c r="A5706" t="s">
        <v>16810</v>
      </c>
      <c r="B5706">
        <v>43361</v>
      </c>
      <c r="C5706" t="s">
        <v>16811</v>
      </c>
      <c r="D5706" t="s">
        <v>6168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11462</v>
      </c>
      <c r="B5708">
        <v>2481</v>
      </c>
      <c r="C5708" t="s">
        <v>11463</v>
      </c>
      <c r="D5708" t="s">
        <v>6168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11464</v>
      </c>
      <c r="B5710">
        <v>35301</v>
      </c>
      <c r="C5710" t="s">
        <v>6851</v>
      </c>
      <c r="D5710" t="s">
        <v>6168</v>
      </c>
    </row>
    <row r="5711" spans="1:4">
      <c r="A5711" t="s">
        <v>16867</v>
      </c>
      <c r="B5711">
        <v>43927</v>
      </c>
      <c r="C5711" t="s">
        <v>6851</v>
      </c>
      <c r="D5711" t="s">
        <v>6168</v>
      </c>
    </row>
    <row r="5712" spans="1:4">
      <c r="A5712" t="s">
        <v>16868</v>
      </c>
      <c r="B5712">
        <v>43928</v>
      </c>
      <c r="C5712" t="s">
        <v>6194</v>
      </c>
      <c r="D5712" t="s">
        <v>6168</v>
      </c>
    </row>
    <row r="5713" spans="1:4">
      <c r="A5713" t="s">
        <v>11465</v>
      </c>
      <c r="B5713">
        <v>34022</v>
      </c>
      <c r="C5713" t="s">
        <v>11466</v>
      </c>
      <c r="D5713" t="s">
        <v>6267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11467</v>
      </c>
      <c r="B5715">
        <v>30772</v>
      </c>
      <c r="C5715" t="s">
        <v>1301</v>
      </c>
      <c r="D5715" t="s">
        <v>6168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11468</v>
      </c>
      <c r="B5718">
        <v>34175</v>
      </c>
      <c r="C5718" t="s">
        <v>11469</v>
      </c>
      <c r="D5718" t="s">
        <v>6168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11470</v>
      </c>
      <c r="B5720">
        <v>35721</v>
      </c>
      <c r="C5720" t="s">
        <v>11471</v>
      </c>
      <c r="D5720" t="s">
        <v>6168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11472</v>
      </c>
      <c r="B5722">
        <v>26247</v>
      </c>
      <c r="C5722" t="s">
        <v>11473</v>
      </c>
      <c r="D5722" t="s">
        <v>6168</v>
      </c>
    </row>
    <row r="5723" spans="1:4">
      <c r="A5723" t="s">
        <v>11474</v>
      </c>
      <c r="B5723">
        <v>22185</v>
      </c>
      <c r="C5723" t="s">
        <v>11475</v>
      </c>
      <c r="D5723" t="s">
        <v>6267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11476</v>
      </c>
      <c r="B5725">
        <v>4191</v>
      </c>
      <c r="C5725" t="s">
        <v>6558</v>
      </c>
      <c r="D5725" t="s">
        <v>6168</v>
      </c>
    </row>
    <row r="5726" spans="1:4">
      <c r="A5726" t="s">
        <v>11477</v>
      </c>
      <c r="B5726">
        <v>22186</v>
      </c>
      <c r="C5726" t="s">
        <v>8360</v>
      </c>
      <c r="D5726" t="s">
        <v>6168</v>
      </c>
    </row>
    <row r="5727" spans="1:4">
      <c r="A5727" t="s">
        <v>11478</v>
      </c>
      <c r="B5727">
        <v>27279</v>
      </c>
      <c r="C5727" t="s">
        <v>11479</v>
      </c>
      <c r="D5727" t="s">
        <v>6168</v>
      </c>
    </row>
    <row r="5728" spans="1:4">
      <c r="A5728" t="s">
        <v>11480</v>
      </c>
      <c r="B5728">
        <v>22187</v>
      </c>
      <c r="C5728" t="s">
        <v>11481</v>
      </c>
      <c r="D5728" t="s">
        <v>6168</v>
      </c>
    </row>
    <row r="5729" spans="1:4">
      <c r="A5729" t="s">
        <v>11482</v>
      </c>
      <c r="B5729">
        <v>22188</v>
      </c>
      <c r="C5729" t="s">
        <v>7102</v>
      </c>
      <c r="D5729" t="s">
        <v>6168</v>
      </c>
    </row>
    <row r="5730" spans="1:4">
      <c r="A5730" t="s">
        <v>11483</v>
      </c>
      <c r="B5730">
        <v>41795</v>
      </c>
      <c r="D5730" t="s">
        <v>6230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11484</v>
      </c>
      <c r="B5732">
        <v>41780</v>
      </c>
      <c r="C5732" t="s">
        <v>11485</v>
      </c>
      <c r="D5732" t="s">
        <v>6168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11486</v>
      </c>
      <c r="B5734">
        <v>31884</v>
      </c>
      <c r="D5734" t="s">
        <v>6292</v>
      </c>
    </row>
    <row r="5735" spans="1:4">
      <c r="A5735" t="s">
        <v>11487</v>
      </c>
      <c r="B5735">
        <v>25162</v>
      </c>
      <c r="C5735" t="s">
        <v>11488</v>
      </c>
      <c r="D5735" t="s">
        <v>6230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11489</v>
      </c>
      <c r="B5737">
        <v>23770</v>
      </c>
      <c r="C5737" t="s">
        <v>367</v>
      </c>
      <c r="D5737" t="s">
        <v>6168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11490</v>
      </c>
      <c r="B5740">
        <v>29230</v>
      </c>
      <c r="C5740" t="s">
        <v>6184</v>
      </c>
      <c r="D5740" t="s">
        <v>6168</v>
      </c>
    </row>
    <row r="5741" spans="1:4">
      <c r="A5741" t="s">
        <v>11491</v>
      </c>
      <c r="B5741">
        <v>29201</v>
      </c>
      <c r="C5741" t="s">
        <v>4950</v>
      </c>
      <c r="D5741" t="s">
        <v>6168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11492</v>
      </c>
      <c r="B5744">
        <v>19340</v>
      </c>
      <c r="D5744" t="s">
        <v>6168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11493</v>
      </c>
      <c r="B5747">
        <v>4306</v>
      </c>
      <c r="C5747" t="s">
        <v>6232</v>
      </c>
      <c r="D5747" t="s">
        <v>6168</v>
      </c>
    </row>
    <row r="5748" spans="1:4">
      <c r="A5748" t="s">
        <v>11494</v>
      </c>
      <c r="B5748">
        <v>30737</v>
      </c>
      <c r="C5748" t="s">
        <v>3931</v>
      </c>
      <c r="D5748" t="s">
        <v>6168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11495</v>
      </c>
      <c r="B5750">
        <v>30620</v>
      </c>
      <c r="C5750" t="s">
        <v>680</v>
      </c>
      <c r="D5750" t="s">
        <v>6168</v>
      </c>
    </row>
    <row r="5751" spans="1:4">
      <c r="A5751" t="s">
        <v>11496</v>
      </c>
      <c r="B5751">
        <v>25807</v>
      </c>
      <c r="C5751" t="s">
        <v>950</v>
      </c>
      <c r="D5751" t="s">
        <v>6168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11497</v>
      </c>
      <c r="B5753">
        <v>25163</v>
      </c>
      <c r="C5753" t="s">
        <v>7757</v>
      </c>
      <c r="D5753" t="s">
        <v>6168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11498</v>
      </c>
      <c r="B5755">
        <v>4280</v>
      </c>
      <c r="C5755" t="s">
        <v>136</v>
      </c>
      <c r="D5755" t="s">
        <v>6168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11499</v>
      </c>
      <c r="B5757">
        <v>10219</v>
      </c>
      <c r="C5757" t="s">
        <v>11500</v>
      </c>
      <c r="D5757" t="s">
        <v>6168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11501</v>
      </c>
      <c r="B5759">
        <v>4481</v>
      </c>
      <c r="C5759" t="s">
        <v>9996</v>
      </c>
      <c r="D5759" t="s">
        <v>6168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11502</v>
      </c>
      <c r="B5762">
        <v>30246</v>
      </c>
      <c r="C5762" t="s">
        <v>11503</v>
      </c>
      <c r="D5762" t="s">
        <v>6168</v>
      </c>
    </row>
    <row r="5763" spans="1:4">
      <c r="A5763" t="s">
        <v>11504</v>
      </c>
      <c r="B5763">
        <v>29567</v>
      </c>
      <c r="C5763" t="s">
        <v>7797</v>
      </c>
      <c r="D5763" t="s">
        <v>6168</v>
      </c>
    </row>
    <row r="5764" spans="1:4">
      <c r="A5764" t="s">
        <v>11505</v>
      </c>
      <c r="B5764">
        <v>29521</v>
      </c>
      <c r="C5764" t="s">
        <v>7965</v>
      </c>
      <c r="D5764" t="s">
        <v>6168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11506</v>
      </c>
      <c r="B5767">
        <v>42774</v>
      </c>
      <c r="C5767" t="s">
        <v>16705</v>
      </c>
      <c r="D5767" t="s">
        <v>6168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11507</v>
      </c>
      <c r="B5769">
        <v>26240</v>
      </c>
      <c r="C5769" t="s">
        <v>11508</v>
      </c>
      <c r="D5769" t="s">
        <v>6168</v>
      </c>
    </row>
    <row r="5770" spans="1:4">
      <c r="A5770" t="s">
        <v>11509</v>
      </c>
      <c r="B5770">
        <v>25164</v>
      </c>
      <c r="C5770" t="s">
        <v>11510</v>
      </c>
      <c r="D5770" t="s">
        <v>6168</v>
      </c>
    </row>
    <row r="5771" spans="1:4">
      <c r="A5771" t="s">
        <v>11511</v>
      </c>
      <c r="B5771">
        <v>29249</v>
      </c>
      <c r="C5771" t="s">
        <v>3130</v>
      </c>
      <c r="D5771" t="s">
        <v>6168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11512</v>
      </c>
      <c r="B5774">
        <v>30102</v>
      </c>
      <c r="C5774" t="s">
        <v>367</v>
      </c>
      <c r="D5774" t="s">
        <v>6168</v>
      </c>
    </row>
    <row r="5775" spans="1:4">
      <c r="A5775" t="s">
        <v>11513</v>
      </c>
      <c r="B5775">
        <v>39700</v>
      </c>
      <c r="C5775" t="s">
        <v>367</v>
      </c>
      <c r="D5775" t="s">
        <v>6168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11514</v>
      </c>
      <c r="B5778">
        <v>20389</v>
      </c>
      <c r="D5778" t="s">
        <v>6267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11515</v>
      </c>
      <c r="B5781">
        <v>34174</v>
      </c>
      <c r="C5781" t="s">
        <v>6558</v>
      </c>
      <c r="D5781" t="s">
        <v>6168</v>
      </c>
    </row>
    <row r="5782" spans="1:4">
      <c r="A5782" t="s">
        <v>11516</v>
      </c>
      <c r="B5782">
        <v>43025</v>
      </c>
      <c r="C5782" t="s">
        <v>6194</v>
      </c>
      <c r="D5782" t="s">
        <v>6168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11517</v>
      </c>
      <c r="B5785">
        <v>308</v>
      </c>
      <c r="C5785" t="s">
        <v>9308</v>
      </c>
      <c r="D5785" t="s">
        <v>6168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11518</v>
      </c>
      <c r="B5789">
        <v>22190</v>
      </c>
      <c r="C5789" t="s">
        <v>11519</v>
      </c>
      <c r="D5789" t="s">
        <v>6168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11520</v>
      </c>
      <c r="B5793">
        <v>25809</v>
      </c>
      <c r="C5793" t="s">
        <v>11521</v>
      </c>
      <c r="D5793" t="s">
        <v>6168</v>
      </c>
    </row>
    <row r="5794" spans="1:4">
      <c r="A5794" t="s">
        <v>11522</v>
      </c>
      <c r="B5794">
        <v>25808</v>
      </c>
      <c r="C5794" t="s">
        <v>2350</v>
      </c>
      <c r="D5794" t="s">
        <v>6168</v>
      </c>
    </row>
    <row r="5795" spans="1:4">
      <c r="A5795" t="s">
        <v>11523</v>
      </c>
      <c r="B5795">
        <v>3870</v>
      </c>
      <c r="C5795" t="s">
        <v>7619</v>
      </c>
      <c r="D5795" t="s">
        <v>6168</v>
      </c>
    </row>
    <row r="5796" spans="1:4">
      <c r="A5796" t="s">
        <v>16729</v>
      </c>
      <c r="B5796">
        <v>43311</v>
      </c>
      <c r="C5796" t="s">
        <v>16730</v>
      </c>
      <c r="D5796" t="s">
        <v>6314</v>
      </c>
    </row>
    <row r="5797" spans="1:4">
      <c r="A5797" t="s">
        <v>17195</v>
      </c>
      <c r="B5797">
        <v>44549</v>
      </c>
      <c r="C5797" t="s">
        <v>5942</v>
      </c>
      <c r="D5797" t="s">
        <v>123</v>
      </c>
    </row>
    <row r="5798" spans="1:4">
      <c r="A5798" t="s">
        <v>17204</v>
      </c>
      <c r="B5798">
        <v>44566</v>
      </c>
      <c r="C5798" t="s">
        <v>17205</v>
      </c>
      <c r="D5798" t="s">
        <v>6168</v>
      </c>
    </row>
    <row r="5799" spans="1:4">
      <c r="A5799" t="s">
        <v>11524</v>
      </c>
      <c r="B5799">
        <v>10198</v>
      </c>
      <c r="C5799" t="s">
        <v>11525</v>
      </c>
      <c r="D5799" t="s">
        <v>6168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11526</v>
      </c>
      <c r="B5801">
        <v>35600</v>
      </c>
      <c r="C5801" t="s">
        <v>11527</v>
      </c>
      <c r="D5801" t="s">
        <v>6168</v>
      </c>
    </row>
    <row r="5802" spans="1:4">
      <c r="A5802" t="s">
        <v>11528</v>
      </c>
      <c r="B5802">
        <v>39460</v>
      </c>
      <c r="C5802" t="s">
        <v>11529</v>
      </c>
      <c r="D5802" t="s">
        <v>6267</v>
      </c>
    </row>
    <row r="5803" spans="1:4">
      <c r="A5803" t="s">
        <v>17288</v>
      </c>
      <c r="B5803">
        <v>45383</v>
      </c>
      <c r="C5803" t="s">
        <v>17289</v>
      </c>
      <c r="D5803" t="s">
        <v>123</v>
      </c>
    </row>
    <row r="5804" spans="1:4">
      <c r="A5804" t="s">
        <v>17398</v>
      </c>
      <c r="B5804">
        <v>45489</v>
      </c>
      <c r="C5804" t="s">
        <v>7165</v>
      </c>
      <c r="D5804" t="s">
        <v>6168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11530</v>
      </c>
      <c r="B5806">
        <v>35489</v>
      </c>
      <c r="C5806" t="s">
        <v>11531</v>
      </c>
      <c r="D5806" t="s">
        <v>6168</v>
      </c>
    </row>
    <row r="5807" spans="1:4">
      <c r="A5807" t="s">
        <v>11532</v>
      </c>
      <c r="B5807">
        <v>33982</v>
      </c>
      <c r="C5807" t="s">
        <v>6724</v>
      </c>
      <c r="D5807" t="s">
        <v>6168</v>
      </c>
    </row>
    <row r="5808" spans="1:4">
      <c r="A5808" t="s">
        <v>11533</v>
      </c>
      <c r="B5808">
        <v>34027</v>
      </c>
      <c r="C5808" t="s">
        <v>11534</v>
      </c>
      <c r="D5808" t="s">
        <v>6168</v>
      </c>
    </row>
    <row r="5809" spans="1:4">
      <c r="A5809" t="s">
        <v>11535</v>
      </c>
      <c r="B5809">
        <v>39844</v>
      </c>
      <c r="C5809" t="s">
        <v>2924</v>
      </c>
      <c r="D5809" t="s">
        <v>6305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17290</v>
      </c>
      <c r="B5811">
        <v>45384</v>
      </c>
      <c r="C5811" t="s">
        <v>17291</v>
      </c>
      <c r="D5811" t="s">
        <v>6168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11536</v>
      </c>
      <c r="B5813">
        <v>24187</v>
      </c>
      <c r="C5813" t="s">
        <v>7313</v>
      </c>
      <c r="D5813" t="s">
        <v>6168</v>
      </c>
    </row>
    <row r="5814" spans="1:4">
      <c r="A5814" t="s">
        <v>11537</v>
      </c>
      <c r="B5814">
        <v>24188</v>
      </c>
      <c r="C5814" t="s">
        <v>11538</v>
      </c>
      <c r="D5814" t="s">
        <v>6168</v>
      </c>
    </row>
    <row r="5815" spans="1:4">
      <c r="A5815" t="s">
        <v>11539</v>
      </c>
      <c r="B5815">
        <v>24189</v>
      </c>
      <c r="C5815" t="s">
        <v>11540</v>
      </c>
      <c r="D5815" t="s">
        <v>6168</v>
      </c>
    </row>
    <row r="5816" spans="1:4">
      <c r="A5816" t="s">
        <v>11541</v>
      </c>
      <c r="B5816">
        <v>24190</v>
      </c>
      <c r="C5816" t="s">
        <v>7313</v>
      </c>
      <c r="D5816" t="s">
        <v>6168</v>
      </c>
    </row>
    <row r="5817" spans="1:4">
      <c r="A5817" t="s">
        <v>11542</v>
      </c>
      <c r="B5817">
        <v>43483</v>
      </c>
      <c r="C5817" t="s">
        <v>11543</v>
      </c>
      <c r="D5817" t="s">
        <v>6168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11544</v>
      </c>
      <c r="B5819">
        <v>25754</v>
      </c>
      <c r="C5819" t="s">
        <v>11545</v>
      </c>
      <c r="D5819" t="s">
        <v>6168</v>
      </c>
    </row>
    <row r="5820" spans="1:4">
      <c r="A5820" t="s">
        <v>11546</v>
      </c>
      <c r="B5820">
        <v>23776</v>
      </c>
      <c r="C5820" t="s">
        <v>1390</v>
      </c>
      <c r="D5820" t="s">
        <v>6168</v>
      </c>
    </row>
    <row r="5821" spans="1:4">
      <c r="A5821" t="s">
        <v>17292</v>
      </c>
      <c r="B5821">
        <v>45385</v>
      </c>
      <c r="C5821" t="s">
        <v>1143</v>
      </c>
      <c r="D5821" t="s">
        <v>123</v>
      </c>
    </row>
    <row r="5822" spans="1:4">
      <c r="A5822" t="s">
        <v>17399</v>
      </c>
      <c r="B5822">
        <v>45490</v>
      </c>
      <c r="C5822" t="s">
        <v>6219</v>
      </c>
      <c r="D5822" t="s">
        <v>6168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11547</v>
      </c>
      <c r="B5825">
        <v>30677</v>
      </c>
      <c r="C5825" t="s">
        <v>11548</v>
      </c>
      <c r="D5825" t="s">
        <v>6168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11549</v>
      </c>
      <c r="B5827">
        <v>22192</v>
      </c>
      <c r="C5827" t="s">
        <v>407</v>
      </c>
      <c r="D5827" t="s">
        <v>6168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11550</v>
      </c>
      <c r="B5829">
        <v>31180</v>
      </c>
      <c r="C5829" t="s">
        <v>11551</v>
      </c>
      <c r="D5829" t="s">
        <v>6168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11552</v>
      </c>
      <c r="B5832">
        <v>40509</v>
      </c>
      <c r="C5832" t="s">
        <v>1369</v>
      </c>
      <c r="D5832" t="s">
        <v>6168</v>
      </c>
    </row>
    <row r="5833" spans="1:4">
      <c r="A5833" t="s">
        <v>11553</v>
      </c>
      <c r="B5833">
        <v>39855</v>
      </c>
      <c r="C5833" t="s">
        <v>9865</v>
      </c>
      <c r="D5833" t="s">
        <v>6168</v>
      </c>
    </row>
    <row r="5834" spans="1:4">
      <c r="A5834" t="s">
        <v>11554</v>
      </c>
      <c r="B5834">
        <v>38824</v>
      </c>
      <c r="C5834" t="s">
        <v>6719</v>
      </c>
      <c r="D5834" t="s">
        <v>6168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11555</v>
      </c>
      <c r="B5836">
        <v>26238</v>
      </c>
      <c r="C5836" t="s">
        <v>9010</v>
      </c>
      <c r="D5836" t="s">
        <v>6168</v>
      </c>
    </row>
    <row r="5837" spans="1:4">
      <c r="A5837" t="s">
        <v>17454</v>
      </c>
      <c r="B5837">
        <v>45745</v>
      </c>
      <c r="C5837" t="s">
        <v>465</v>
      </c>
      <c r="D5837" t="s">
        <v>123</v>
      </c>
    </row>
    <row r="5838" spans="1:4">
      <c r="A5838" t="s">
        <v>17522</v>
      </c>
      <c r="B5838">
        <v>45942</v>
      </c>
      <c r="C5838" t="s">
        <v>16690</v>
      </c>
      <c r="D5838" t="s">
        <v>6168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11556</v>
      </c>
      <c r="B5841">
        <v>39491</v>
      </c>
      <c r="C5841" t="s">
        <v>11557</v>
      </c>
      <c r="D5841" t="s">
        <v>6267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11558</v>
      </c>
      <c r="B5843">
        <v>25167</v>
      </c>
      <c r="C5843" t="s">
        <v>7360</v>
      </c>
      <c r="D5843" t="s">
        <v>6168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11559</v>
      </c>
      <c r="B5845">
        <v>25488</v>
      </c>
      <c r="C5845" t="s">
        <v>2491</v>
      </c>
      <c r="D5845" t="s">
        <v>6248</v>
      </c>
    </row>
    <row r="5846" spans="1:4">
      <c r="A5846" t="s">
        <v>11560</v>
      </c>
      <c r="B5846">
        <v>26235</v>
      </c>
      <c r="C5846" t="s">
        <v>6219</v>
      </c>
      <c r="D5846" t="s">
        <v>6168</v>
      </c>
    </row>
    <row r="5847" spans="1:4">
      <c r="A5847" t="s">
        <v>11561</v>
      </c>
      <c r="B5847">
        <v>26232</v>
      </c>
      <c r="C5847" t="s">
        <v>11562</v>
      </c>
      <c r="D5847" t="s">
        <v>6168</v>
      </c>
    </row>
    <row r="5848" spans="1:4">
      <c r="A5848" t="s">
        <v>11563</v>
      </c>
      <c r="B5848">
        <v>40764</v>
      </c>
      <c r="C5848" t="s">
        <v>6219</v>
      </c>
      <c r="D5848" t="s">
        <v>6168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11564</v>
      </c>
      <c r="B5850">
        <v>40900</v>
      </c>
      <c r="C5850" t="s">
        <v>5776</v>
      </c>
      <c r="D5850" t="s">
        <v>6267</v>
      </c>
    </row>
    <row r="5851" spans="1:4">
      <c r="A5851" t="s">
        <v>11565</v>
      </c>
      <c r="B5851">
        <v>39492</v>
      </c>
      <c r="C5851" t="s">
        <v>11566</v>
      </c>
      <c r="D5851" t="s">
        <v>6267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11567</v>
      </c>
      <c r="B5853">
        <v>23428</v>
      </c>
      <c r="C5853" t="s">
        <v>6190</v>
      </c>
      <c r="D5853" t="s">
        <v>6168</v>
      </c>
    </row>
    <row r="5854" spans="1:4">
      <c r="A5854" t="s">
        <v>11568</v>
      </c>
      <c r="B5854">
        <v>29220</v>
      </c>
      <c r="C5854" t="s">
        <v>11569</v>
      </c>
      <c r="D5854" t="s">
        <v>6168</v>
      </c>
    </row>
    <row r="5855" spans="1:4">
      <c r="A5855" t="s">
        <v>11570</v>
      </c>
      <c r="B5855">
        <v>23429</v>
      </c>
      <c r="C5855" t="s">
        <v>4950</v>
      </c>
      <c r="D5855" t="s">
        <v>6168</v>
      </c>
    </row>
    <row r="5856" spans="1:4">
      <c r="A5856" t="s">
        <v>11571</v>
      </c>
      <c r="B5856">
        <v>25168</v>
      </c>
      <c r="C5856" t="s">
        <v>8345</v>
      </c>
      <c r="D5856" t="s">
        <v>6245</v>
      </c>
    </row>
    <row r="5857" spans="1:4">
      <c r="A5857" t="s">
        <v>11572</v>
      </c>
      <c r="B5857">
        <v>24724</v>
      </c>
      <c r="C5857" t="s">
        <v>11573</v>
      </c>
      <c r="D5857" t="s">
        <v>6230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11574</v>
      </c>
      <c r="B5859">
        <v>30561</v>
      </c>
      <c r="C5859" t="s">
        <v>7336</v>
      </c>
      <c r="D5859" t="s">
        <v>6168</v>
      </c>
    </row>
    <row r="5860" spans="1:4">
      <c r="A5860" t="s">
        <v>11575</v>
      </c>
      <c r="B5860">
        <v>849</v>
      </c>
      <c r="D5860" t="s">
        <v>6245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11576</v>
      </c>
      <c r="B5862">
        <v>306</v>
      </c>
      <c r="C5862" t="s">
        <v>7320</v>
      </c>
      <c r="D5862" t="s">
        <v>6168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11577</v>
      </c>
      <c r="B5865">
        <v>5235</v>
      </c>
      <c r="C5865" t="s">
        <v>6417</v>
      </c>
      <c r="D5865" t="s">
        <v>6168</v>
      </c>
    </row>
    <row r="5866" spans="1:4">
      <c r="A5866" t="s">
        <v>11578</v>
      </c>
      <c r="B5866">
        <v>29735</v>
      </c>
      <c r="C5866" t="s">
        <v>4645</v>
      </c>
      <c r="D5866" t="s">
        <v>6314</v>
      </c>
    </row>
    <row r="5867" spans="1:4">
      <c r="A5867" t="s">
        <v>11579</v>
      </c>
      <c r="B5867">
        <v>29571</v>
      </c>
      <c r="C5867" t="s">
        <v>10939</v>
      </c>
      <c r="D5867" t="s">
        <v>9775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11580</v>
      </c>
      <c r="B5869">
        <v>22193</v>
      </c>
      <c r="C5869" t="s">
        <v>11581</v>
      </c>
      <c r="D5869" t="s">
        <v>6168</v>
      </c>
    </row>
    <row r="5870" spans="1:4">
      <c r="A5870" t="s">
        <v>11582</v>
      </c>
      <c r="B5870">
        <v>27421</v>
      </c>
      <c r="C5870" t="s">
        <v>11583</v>
      </c>
      <c r="D5870" t="s">
        <v>6168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11584</v>
      </c>
      <c r="B5873">
        <v>36220</v>
      </c>
      <c r="C5873" t="s">
        <v>6352</v>
      </c>
      <c r="D5873" t="s">
        <v>6168</v>
      </c>
    </row>
    <row r="5874" spans="1:4">
      <c r="A5874" t="s">
        <v>11585</v>
      </c>
      <c r="B5874">
        <v>41190</v>
      </c>
      <c r="C5874" t="s">
        <v>6214</v>
      </c>
      <c r="D5874" t="s">
        <v>6168</v>
      </c>
    </row>
    <row r="5875" spans="1:4">
      <c r="A5875" t="s">
        <v>11586</v>
      </c>
      <c r="B5875">
        <v>36219</v>
      </c>
      <c r="C5875" t="s">
        <v>5500</v>
      </c>
      <c r="D5875" t="s">
        <v>6168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11587</v>
      </c>
      <c r="B5877">
        <v>22194</v>
      </c>
      <c r="C5877" t="s">
        <v>11588</v>
      </c>
      <c r="D5877" t="s">
        <v>6267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11589</v>
      </c>
      <c r="B5879">
        <v>22196</v>
      </c>
      <c r="C5879" t="s">
        <v>6201</v>
      </c>
      <c r="D5879" t="s">
        <v>6168</v>
      </c>
    </row>
    <row r="5880" spans="1:4">
      <c r="A5880" t="s">
        <v>11590</v>
      </c>
      <c r="B5880">
        <v>22197</v>
      </c>
      <c r="C5880" t="s">
        <v>11591</v>
      </c>
      <c r="D5880" t="s">
        <v>6168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11592</v>
      </c>
      <c r="B5883">
        <v>9830</v>
      </c>
      <c r="C5883" t="s">
        <v>280</v>
      </c>
      <c r="D5883" t="s">
        <v>6168</v>
      </c>
    </row>
    <row r="5884" spans="1:4">
      <c r="A5884" t="s">
        <v>11593</v>
      </c>
      <c r="B5884">
        <v>23075</v>
      </c>
      <c r="C5884" t="s">
        <v>1842</v>
      </c>
      <c r="D5884" t="s">
        <v>6267</v>
      </c>
    </row>
    <row r="5885" spans="1:4">
      <c r="A5885" t="s">
        <v>11594</v>
      </c>
      <c r="B5885">
        <v>20713</v>
      </c>
      <c r="C5885" t="s">
        <v>1842</v>
      </c>
      <c r="D5885" t="s">
        <v>6314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11595</v>
      </c>
      <c r="B5887">
        <v>2371</v>
      </c>
      <c r="C5887" t="s">
        <v>11443</v>
      </c>
      <c r="D5887" t="s">
        <v>6168</v>
      </c>
    </row>
    <row r="5888" spans="1:4">
      <c r="A5888" t="s">
        <v>11596</v>
      </c>
      <c r="B5888">
        <v>9786</v>
      </c>
      <c r="C5888" t="s">
        <v>11597</v>
      </c>
      <c r="D5888" t="s">
        <v>6168</v>
      </c>
    </row>
    <row r="5889" spans="1:4">
      <c r="A5889" t="s">
        <v>11598</v>
      </c>
      <c r="B5889">
        <v>2372</v>
      </c>
      <c r="C5889" t="s">
        <v>6475</v>
      </c>
      <c r="D5889" t="s">
        <v>6168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11599</v>
      </c>
      <c r="B5891">
        <v>30337</v>
      </c>
      <c r="C5891" t="s">
        <v>3215</v>
      </c>
      <c r="D5891" t="s">
        <v>6168</v>
      </c>
    </row>
    <row r="5892" spans="1:4">
      <c r="A5892" t="s">
        <v>11600</v>
      </c>
      <c r="B5892">
        <v>30341</v>
      </c>
      <c r="C5892" t="s">
        <v>11601</v>
      </c>
      <c r="D5892" t="s">
        <v>6168</v>
      </c>
    </row>
    <row r="5893" spans="1:4">
      <c r="A5893" t="s">
        <v>11602</v>
      </c>
      <c r="B5893">
        <v>23779</v>
      </c>
      <c r="C5893" t="s">
        <v>6853</v>
      </c>
      <c r="D5893" t="s">
        <v>6168</v>
      </c>
    </row>
    <row r="5894" spans="1:4">
      <c r="A5894" t="s">
        <v>11603</v>
      </c>
      <c r="B5894">
        <v>30256</v>
      </c>
      <c r="C5894" t="s">
        <v>11604</v>
      </c>
      <c r="D5894" t="s">
        <v>6168</v>
      </c>
    </row>
    <row r="5895" spans="1:4">
      <c r="A5895" t="s">
        <v>11605</v>
      </c>
      <c r="B5895">
        <v>23780</v>
      </c>
      <c r="C5895" t="s">
        <v>11606</v>
      </c>
      <c r="D5895" t="s">
        <v>6168</v>
      </c>
    </row>
    <row r="5896" spans="1:4">
      <c r="A5896" t="s">
        <v>11607</v>
      </c>
      <c r="B5896">
        <v>23781</v>
      </c>
      <c r="C5896" t="s">
        <v>11608</v>
      </c>
      <c r="D5896" t="s">
        <v>6168</v>
      </c>
    </row>
    <row r="5897" spans="1:4">
      <c r="A5897" t="s">
        <v>11609</v>
      </c>
      <c r="B5897">
        <v>25489</v>
      </c>
      <c r="C5897" t="s">
        <v>11610</v>
      </c>
      <c r="D5897" t="s">
        <v>6168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11611</v>
      </c>
      <c r="B5899">
        <v>42775</v>
      </c>
      <c r="C5899" t="s">
        <v>11612</v>
      </c>
      <c r="D5899" t="s">
        <v>6168</v>
      </c>
    </row>
    <row r="5900" spans="1:4">
      <c r="A5900" t="s">
        <v>11613</v>
      </c>
      <c r="B5900">
        <v>25169</v>
      </c>
      <c r="C5900" t="s">
        <v>10665</v>
      </c>
      <c r="D5900" t="s">
        <v>6168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11614</v>
      </c>
      <c r="B5902">
        <v>39722</v>
      </c>
      <c r="C5902" t="s">
        <v>2869</v>
      </c>
      <c r="D5902" t="s">
        <v>6267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17293</v>
      </c>
      <c r="B5905">
        <v>45386</v>
      </c>
      <c r="C5905" t="s">
        <v>17294</v>
      </c>
      <c r="D5905" t="s">
        <v>6168</v>
      </c>
    </row>
    <row r="5906" spans="1:4">
      <c r="A5906" t="s">
        <v>11615</v>
      </c>
      <c r="B5906">
        <v>25490</v>
      </c>
      <c r="C5906" t="s">
        <v>6558</v>
      </c>
      <c r="D5906" t="s">
        <v>6168</v>
      </c>
    </row>
    <row r="5907" spans="1:4">
      <c r="A5907" t="s">
        <v>11616</v>
      </c>
      <c r="B5907">
        <v>25491</v>
      </c>
      <c r="C5907" t="s">
        <v>11617</v>
      </c>
      <c r="D5907" t="s">
        <v>6168</v>
      </c>
    </row>
    <row r="5908" spans="1:4">
      <c r="A5908" t="s">
        <v>11618</v>
      </c>
      <c r="B5908">
        <v>41191</v>
      </c>
      <c r="C5908" t="s">
        <v>11619</v>
      </c>
      <c r="D5908" t="s">
        <v>6168</v>
      </c>
    </row>
    <row r="5909" spans="1:4">
      <c r="A5909" t="s">
        <v>11620</v>
      </c>
      <c r="B5909">
        <v>25492</v>
      </c>
      <c r="C5909" t="s">
        <v>11621</v>
      </c>
      <c r="D5909" t="s">
        <v>6168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11622</v>
      </c>
      <c r="B5911">
        <v>9783</v>
      </c>
      <c r="D5911" t="s">
        <v>6267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11623</v>
      </c>
      <c r="B5914">
        <v>2342</v>
      </c>
      <c r="C5914" t="s">
        <v>11624</v>
      </c>
      <c r="D5914" t="s">
        <v>6168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11625</v>
      </c>
      <c r="B5917">
        <v>24726</v>
      </c>
      <c r="C5917" t="s">
        <v>11626</v>
      </c>
      <c r="D5917" t="s">
        <v>6267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11627</v>
      </c>
      <c r="B5919">
        <v>42193</v>
      </c>
      <c r="C5919" t="s">
        <v>11628</v>
      </c>
      <c r="D5919" t="s">
        <v>6168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11629</v>
      </c>
      <c r="B5922">
        <v>23159</v>
      </c>
      <c r="C5922" t="s">
        <v>11630</v>
      </c>
      <c r="D5922" t="s">
        <v>6267</v>
      </c>
    </row>
    <row r="5923" spans="1:4">
      <c r="A5923" t="s">
        <v>17212</v>
      </c>
      <c r="B5923">
        <v>45284</v>
      </c>
      <c r="C5923" t="s">
        <v>17213</v>
      </c>
      <c r="D5923" t="s">
        <v>6248</v>
      </c>
    </row>
    <row r="5924" spans="1:4">
      <c r="A5924" t="s">
        <v>11631</v>
      </c>
      <c r="B5924">
        <v>4460</v>
      </c>
      <c r="D5924" t="s">
        <v>6245</v>
      </c>
    </row>
    <row r="5925" spans="1:4">
      <c r="A5925" t="s">
        <v>11632</v>
      </c>
      <c r="B5925">
        <v>39634</v>
      </c>
      <c r="C5925" t="s">
        <v>3014</v>
      </c>
      <c r="D5925" t="s">
        <v>6267</v>
      </c>
    </row>
    <row r="5926" spans="1:4">
      <c r="A5926" t="s">
        <v>11633</v>
      </c>
      <c r="B5926">
        <v>23782</v>
      </c>
      <c r="C5926" t="s">
        <v>11634</v>
      </c>
      <c r="D5926" t="s">
        <v>6305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11635</v>
      </c>
      <c r="B5928">
        <v>4340</v>
      </c>
      <c r="C5928" t="s">
        <v>11636</v>
      </c>
      <c r="D5928" t="s">
        <v>6168</v>
      </c>
    </row>
    <row r="5929" spans="1:4">
      <c r="A5929" t="s">
        <v>11637</v>
      </c>
      <c r="B5929">
        <v>4341</v>
      </c>
      <c r="C5929" t="s">
        <v>11638</v>
      </c>
      <c r="D5929" t="s">
        <v>6168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11639</v>
      </c>
      <c r="B5931">
        <v>22199</v>
      </c>
      <c r="C5931" t="s">
        <v>7303</v>
      </c>
      <c r="D5931" t="s">
        <v>6168</v>
      </c>
    </row>
    <row r="5932" spans="1:4">
      <c r="A5932" t="s">
        <v>11640</v>
      </c>
      <c r="B5932">
        <v>23484</v>
      </c>
      <c r="C5932" t="s">
        <v>6194</v>
      </c>
      <c r="D5932" t="s">
        <v>6168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16827</v>
      </c>
      <c r="B5934">
        <v>43863</v>
      </c>
      <c r="C5934" t="s">
        <v>16632</v>
      </c>
      <c r="D5934" t="s">
        <v>6168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11641</v>
      </c>
      <c r="B5937">
        <v>22202</v>
      </c>
      <c r="C5937" t="s">
        <v>6483</v>
      </c>
      <c r="D5937" t="s">
        <v>6168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11642</v>
      </c>
      <c r="B5939">
        <v>25170</v>
      </c>
      <c r="C5939" t="s">
        <v>6731</v>
      </c>
      <c r="D5939" t="s">
        <v>6168</v>
      </c>
    </row>
    <row r="5940" spans="1:4">
      <c r="A5940" t="s">
        <v>11643</v>
      </c>
      <c r="B5940">
        <v>30340</v>
      </c>
      <c r="C5940" t="s">
        <v>11644</v>
      </c>
      <c r="D5940" t="s">
        <v>6168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11645</v>
      </c>
      <c r="B5942">
        <v>479</v>
      </c>
      <c r="C5942" t="s">
        <v>6219</v>
      </c>
      <c r="D5942" t="s">
        <v>6168</v>
      </c>
    </row>
    <row r="5943" spans="1:4">
      <c r="A5943" t="s">
        <v>11646</v>
      </c>
      <c r="B5943">
        <v>480</v>
      </c>
      <c r="D5943" t="s">
        <v>6168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11647</v>
      </c>
      <c r="B5945">
        <v>22203</v>
      </c>
      <c r="D5945" t="s">
        <v>6314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11648</v>
      </c>
      <c r="B5947">
        <v>29582</v>
      </c>
      <c r="C5947" t="s">
        <v>11649</v>
      </c>
      <c r="D5947" t="s">
        <v>6168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11650</v>
      </c>
      <c r="B5949">
        <v>40507</v>
      </c>
      <c r="C5949" t="s">
        <v>9943</v>
      </c>
      <c r="D5949" t="s">
        <v>6314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11651</v>
      </c>
      <c r="B5951">
        <v>30624</v>
      </c>
      <c r="C5951" t="s">
        <v>11652</v>
      </c>
      <c r="D5951" t="s">
        <v>6168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11653</v>
      </c>
      <c r="B5953">
        <v>36218</v>
      </c>
      <c r="C5953" t="s">
        <v>6601</v>
      </c>
      <c r="D5953" t="s">
        <v>6168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11654</v>
      </c>
      <c r="B5955">
        <v>41192</v>
      </c>
      <c r="C5955" t="s">
        <v>5665</v>
      </c>
      <c r="D5955" t="s">
        <v>6168</v>
      </c>
    </row>
    <row r="5956" spans="1:4">
      <c r="A5956" t="s">
        <v>11655</v>
      </c>
      <c r="B5956">
        <v>41193</v>
      </c>
      <c r="C5956" t="s">
        <v>11656</v>
      </c>
      <c r="D5956" t="s">
        <v>6168</v>
      </c>
    </row>
    <row r="5957" spans="1:4">
      <c r="A5957" t="s">
        <v>11657</v>
      </c>
      <c r="B5957">
        <v>4372</v>
      </c>
      <c r="C5957" t="s">
        <v>8415</v>
      </c>
      <c r="D5957" t="s">
        <v>6243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11658</v>
      </c>
      <c r="B5959">
        <v>4309</v>
      </c>
      <c r="C5959" t="s">
        <v>11659</v>
      </c>
      <c r="D5959" t="s">
        <v>6168</v>
      </c>
    </row>
    <row r="5960" spans="1:4">
      <c r="A5960" t="s">
        <v>17295</v>
      </c>
      <c r="B5960">
        <v>45387</v>
      </c>
      <c r="C5960" t="s">
        <v>7979</v>
      </c>
      <c r="D5960" t="s">
        <v>6168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11660</v>
      </c>
      <c r="B5962">
        <v>29207</v>
      </c>
      <c r="C5962" t="s">
        <v>11427</v>
      </c>
      <c r="D5962" t="s">
        <v>6168</v>
      </c>
    </row>
    <row r="5963" spans="1:4">
      <c r="A5963" t="s">
        <v>17184</v>
      </c>
      <c r="B5963">
        <v>44506</v>
      </c>
      <c r="C5963" t="s">
        <v>17185</v>
      </c>
      <c r="D5963" t="s">
        <v>6168</v>
      </c>
    </row>
    <row r="5964" spans="1:4">
      <c r="A5964" t="s">
        <v>11661</v>
      </c>
      <c r="B5964">
        <v>24728</v>
      </c>
      <c r="C5964" t="s">
        <v>11429</v>
      </c>
      <c r="D5964" t="s">
        <v>6168</v>
      </c>
    </row>
    <row r="5965" spans="1:4">
      <c r="A5965" t="s">
        <v>11662</v>
      </c>
      <c r="B5965">
        <v>24729</v>
      </c>
      <c r="C5965" t="s">
        <v>6689</v>
      </c>
      <c r="D5965" t="s">
        <v>6168</v>
      </c>
    </row>
    <row r="5966" spans="1:4">
      <c r="A5966" t="s">
        <v>11663</v>
      </c>
      <c r="B5966">
        <v>26225</v>
      </c>
      <c r="C5966" t="s">
        <v>11664</v>
      </c>
      <c r="D5966" t="s">
        <v>6168</v>
      </c>
    </row>
    <row r="5967" spans="1:4">
      <c r="A5967" t="s">
        <v>11665</v>
      </c>
      <c r="B5967">
        <v>23200</v>
      </c>
      <c r="C5967" t="s">
        <v>6943</v>
      </c>
      <c r="D5967" t="s">
        <v>6245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11666</v>
      </c>
      <c r="B5969">
        <v>2603</v>
      </c>
      <c r="C5969" t="s">
        <v>8251</v>
      </c>
      <c r="D5969" t="s">
        <v>6168</v>
      </c>
    </row>
    <row r="5970" spans="1:4">
      <c r="A5970" t="s">
        <v>11667</v>
      </c>
      <c r="B5970">
        <v>22204</v>
      </c>
      <c r="C5970" t="s">
        <v>11668</v>
      </c>
      <c r="D5970" t="s">
        <v>6168</v>
      </c>
    </row>
    <row r="5971" spans="1:4">
      <c r="A5971" t="s">
        <v>11669</v>
      </c>
      <c r="B5971">
        <v>2604</v>
      </c>
      <c r="C5971" t="s">
        <v>11670</v>
      </c>
      <c r="D5971" t="s">
        <v>6168</v>
      </c>
    </row>
    <row r="5972" spans="1:4">
      <c r="A5972" t="s">
        <v>11671</v>
      </c>
      <c r="B5972">
        <v>22205</v>
      </c>
      <c r="C5972" t="s">
        <v>11672</v>
      </c>
      <c r="D5972" t="s">
        <v>6168</v>
      </c>
    </row>
    <row r="5973" spans="1:4">
      <c r="A5973" t="s">
        <v>11673</v>
      </c>
      <c r="B5973">
        <v>22206</v>
      </c>
      <c r="C5973" t="s">
        <v>432</v>
      </c>
      <c r="D5973" t="s">
        <v>6168</v>
      </c>
    </row>
    <row r="5974" spans="1:4">
      <c r="A5974" t="s">
        <v>11674</v>
      </c>
      <c r="B5974">
        <v>2609</v>
      </c>
      <c r="C5974" t="s">
        <v>11675</v>
      </c>
      <c r="D5974" t="s">
        <v>6168</v>
      </c>
    </row>
    <row r="5975" spans="1:4">
      <c r="A5975" t="s">
        <v>11676</v>
      </c>
      <c r="B5975">
        <v>22207</v>
      </c>
      <c r="C5975" t="s">
        <v>6201</v>
      </c>
      <c r="D5975" t="s">
        <v>6168</v>
      </c>
    </row>
    <row r="5976" spans="1:4">
      <c r="A5976" t="s">
        <v>11677</v>
      </c>
      <c r="B5976">
        <v>27264</v>
      </c>
      <c r="C5976" t="s">
        <v>555</v>
      </c>
      <c r="D5976" t="s">
        <v>6168</v>
      </c>
    </row>
    <row r="5977" spans="1:4">
      <c r="A5977" t="s">
        <v>11678</v>
      </c>
      <c r="B5977">
        <v>2610</v>
      </c>
      <c r="C5977" t="s">
        <v>9734</v>
      </c>
      <c r="D5977" t="s">
        <v>6168</v>
      </c>
    </row>
    <row r="5978" spans="1:4">
      <c r="A5978" t="s">
        <v>11679</v>
      </c>
      <c r="B5978">
        <v>2605</v>
      </c>
      <c r="C5978" t="s">
        <v>11680</v>
      </c>
      <c r="D5978" t="s">
        <v>6168</v>
      </c>
    </row>
    <row r="5979" spans="1:4">
      <c r="A5979" t="s">
        <v>11681</v>
      </c>
      <c r="B5979">
        <v>2607</v>
      </c>
      <c r="C5979" t="s">
        <v>432</v>
      </c>
      <c r="D5979" t="s">
        <v>6168</v>
      </c>
    </row>
    <row r="5980" spans="1:4">
      <c r="A5980" t="s">
        <v>11682</v>
      </c>
      <c r="B5980">
        <v>2606</v>
      </c>
      <c r="C5980" t="s">
        <v>7933</v>
      </c>
      <c r="D5980" t="s">
        <v>6168</v>
      </c>
    </row>
    <row r="5981" spans="1:4">
      <c r="A5981" t="s">
        <v>11683</v>
      </c>
      <c r="B5981">
        <v>2608</v>
      </c>
      <c r="C5981" t="s">
        <v>11684</v>
      </c>
      <c r="D5981" t="s">
        <v>6168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11685</v>
      </c>
      <c r="B5983">
        <v>22208</v>
      </c>
      <c r="C5983" t="s">
        <v>2262</v>
      </c>
      <c r="D5983" t="s">
        <v>6267</v>
      </c>
    </row>
    <row r="5984" spans="1:4">
      <c r="A5984" t="s">
        <v>11686</v>
      </c>
      <c r="B5984">
        <v>22209</v>
      </c>
      <c r="C5984" t="s">
        <v>2262</v>
      </c>
      <c r="D5984" t="s">
        <v>6314</v>
      </c>
    </row>
    <row r="5985" spans="1:4">
      <c r="A5985" t="s">
        <v>11687</v>
      </c>
      <c r="B5985">
        <v>22222</v>
      </c>
      <c r="C5985" t="s">
        <v>11688</v>
      </c>
      <c r="D5985" t="s">
        <v>6267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11689</v>
      </c>
      <c r="B5987">
        <v>22224</v>
      </c>
      <c r="C5987" t="s">
        <v>11690</v>
      </c>
      <c r="D5987" t="s">
        <v>6168</v>
      </c>
    </row>
    <row r="5988" spans="1:4">
      <c r="A5988" t="s">
        <v>11691</v>
      </c>
      <c r="B5988">
        <v>22225</v>
      </c>
      <c r="C5988" t="s">
        <v>11692</v>
      </c>
      <c r="D5988" t="s">
        <v>6168</v>
      </c>
    </row>
    <row r="5989" spans="1:4">
      <c r="A5989" t="s">
        <v>11693</v>
      </c>
      <c r="B5989">
        <v>22226</v>
      </c>
      <c r="D5989" t="s">
        <v>6168</v>
      </c>
    </row>
    <row r="5990" spans="1:4">
      <c r="A5990" t="s">
        <v>11694</v>
      </c>
      <c r="B5990">
        <v>22227</v>
      </c>
      <c r="D5990" t="s">
        <v>6168</v>
      </c>
    </row>
    <row r="5991" spans="1:4">
      <c r="A5991" t="s">
        <v>11695</v>
      </c>
      <c r="B5991">
        <v>43134</v>
      </c>
      <c r="C5991" t="s">
        <v>11696</v>
      </c>
      <c r="D5991" t="s">
        <v>6168</v>
      </c>
    </row>
    <row r="5992" spans="1:4">
      <c r="A5992" t="s">
        <v>11697</v>
      </c>
      <c r="B5992">
        <v>43135</v>
      </c>
      <c r="C5992" t="s">
        <v>11698</v>
      </c>
      <c r="D5992" t="s">
        <v>6168</v>
      </c>
    </row>
    <row r="5993" spans="1:4">
      <c r="A5993" t="s">
        <v>11699</v>
      </c>
      <c r="B5993">
        <v>43136</v>
      </c>
      <c r="C5993" t="s">
        <v>11696</v>
      </c>
      <c r="D5993" t="s">
        <v>6168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11700</v>
      </c>
      <c r="B5996">
        <v>31242</v>
      </c>
      <c r="C5996" t="s">
        <v>11701</v>
      </c>
      <c r="D5996" t="s">
        <v>6168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11702</v>
      </c>
      <c r="B5998">
        <v>4440</v>
      </c>
      <c r="C5998" t="s">
        <v>11703</v>
      </c>
      <c r="D5998" t="s">
        <v>6168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11704</v>
      </c>
      <c r="B6000">
        <v>41681</v>
      </c>
      <c r="C6000" t="s">
        <v>11705</v>
      </c>
      <c r="D6000" t="s">
        <v>6168</v>
      </c>
    </row>
    <row r="6001" spans="1:4">
      <c r="A6001" t="s">
        <v>11706</v>
      </c>
      <c r="B6001">
        <v>30678</v>
      </c>
      <c r="D6001" t="s">
        <v>6248</v>
      </c>
    </row>
    <row r="6002" spans="1:4">
      <c r="A6002" t="s">
        <v>11707</v>
      </c>
      <c r="B6002">
        <v>35109</v>
      </c>
      <c r="C6002" t="s">
        <v>7977</v>
      </c>
      <c r="D6002" t="s">
        <v>6168</v>
      </c>
    </row>
    <row r="6003" spans="1:4">
      <c r="A6003" t="s">
        <v>11708</v>
      </c>
      <c r="B6003">
        <v>30793</v>
      </c>
      <c r="C6003" t="s">
        <v>3079</v>
      </c>
      <c r="D6003" t="s">
        <v>6168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11709</v>
      </c>
      <c r="B6005">
        <v>29707</v>
      </c>
      <c r="C6005" t="s">
        <v>11710</v>
      </c>
      <c r="D6005" t="s">
        <v>6168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11711</v>
      </c>
      <c r="B6008">
        <v>2680</v>
      </c>
      <c r="C6008" t="s">
        <v>6817</v>
      </c>
      <c r="D6008" t="s">
        <v>6168</v>
      </c>
    </row>
    <row r="6009" spans="1:4">
      <c r="A6009" t="s">
        <v>11712</v>
      </c>
      <c r="B6009">
        <v>2681</v>
      </c>
      <c r="C6009" t="s">
        <v>1675</v>
      </c>
      <c r="D6009" t="s">
        <v>6168</v>
      </c>
    </row>
    <row r="6010" spans="1:4">
      <c r="A6010" t="s">
        <v>11713</v>
      </c>
      <c r="B6010">
        <v>2682</v>
      </c>
      <c r="C6010" t="s">
        <v>8554</v>
      </c>
      <c r="D6010" t="s">
        <v>6168</v>
      </c>
    </row>
    <row r="6011" spans="1:4">
      <c r="A6011" t="s">
        <v>11714</v>
      </c>
      <c r="B6011">
        <v>2683</v>
      </c>
      <c r="C6011" t="s">
        <v>7933</v>
      </c>
      <c r="D6011" t="s">
        <v>6168</v>
      </c>
    </row>
    <row r="6012" spans="1:4">
      <c r="A6012" t="s">
        <v>11715</v>
      </c>
      <c r="B6012">
        <v>2684</v>
      </c>
      <c r="C6012" t="s">
        <v>6417</v>
      </c>
      <c r="D6012" t="s">
        <v>6168</v>
      </c>
    </row>
    <row r="6013" spans="1:4">
      <c r="A6013" t="s">
        <v>11716</v>
      </c>
      <c r="B6013">
        <v>22228</v>
      </c>
      <c r="C6013" t="s">
        <v>585</v>
      </c>
      <c r="D6013" t="s">
        <v>6267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11717</v>
      </c>
      <c r="B6015">
        <v>24730</v>
      </c>
      <c r="C6015" t="s">
        <v>630</v>
      </c>
      <c r="D6015" t="s">
        <v>6314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11718</v>
      </c>
      <c r="B6017">
        <v>29516</v>
      </c>
      <c r="C6017" t="s">
        <v>8466</v>
      </c>
      <c r="D6017" t="s">
        <v>6168</v>
      </c>
    </row>
    <row r="6018" spans="1:4">
      <c r="A6018" t="s">
        <v>11719</v>
      </c>
      <c r="B6018">
        <v>30343</v>
      </c>
      <c r="C6018" t="s">
        <v>11720</v>
      </c>
      <c r="D6018" t="s">
        <v>6168</v>
      </c>
    </row>
    <row r="6019" spans="1:4">
      <c r="A6019" t="s">
        <v>11721</v>
      </c>
      <c r="B6019">
        <v>24193</v>
      </c>
      <c r="C6019" t="s">
        <v>8470</v>
      </c>
      <c r="D6019" t="s">
        <v>6245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11722</v>
      </c>
      <c r="B6021">
        <v>40506</v>
      </c>
      <c r="C6021" t="s">
        <v>11723</v>
      </c>
      <c r="D6021" t="s">
        <v>6267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11724</v>
      </c>
      <c r="B6024">
        <v>22230</v>
      </c>
      <c r="C6024" t="s">
        <v>11725</v>
      </c>
      <c r="D6024" t="s">
        <v>6168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11726</v>
      </c>
      <c r="B6026">
        <v>24194</v>
      </c>
      <c r="C6026" t="s">
        <v>11727</v>
      </c>
      <c r="D6026" t="s">
        <v>6168</v>
      </c>
    </row>
    <row r="6027" spans="1:4">
      <c r="A6027" t="s">
        <v>11728</v>
      </c>
      <c r="B6027">
        <v>24195</v>
      </c>
      <c r="C6027" t="s">
        <v>6649</v>
      </c>
      <c r="D6027" t="s">
        <v>6168</v>
      </c>
    </row>
    <row r="6028" spans="1:4">
      <c r="A6028" t="s">
        <v>11729</v>
      </c>
      <c r="B6028">
        <v>31072</v>
      </c>
      <c r="C6028" t="s">
        <v>11730</v>
      </c>
      <c r="D6028" t="s">
        <v>6168</v>
      </c>
    </row>
    <row r="6029" spans="1:4">
      <c r="A6029" t="s">
        <v>11731</v>
      </c>
      <c r="B6029">
        <v>30346</v>
      </c>
      <c r="C6029" t="s">
        <v>11732</v>
      </c>
      <c r="D6029" t="s">
        <v>6168</v>
      </c>
    </row>
    <row r="6030" spans="1:4">
      <c r="A6030" t="s">
        <v>11733</v>
      </c>
      <c r="B6030">
        <v>30254</v>
      </c>
      <c r="C6030" t="s">
        <v>6697</v>
      </c>
      <c r="D6030" t="s">
        <v>6168</v>
      </c>
    </row>
    <row r="6031" spans="1:4">
      <c r="A6031" t="s">
        <v>11734</v>
      </c>
      <c r="B6031">
        <v>24196</v>
      </c>
      <c r="C6031" t="s">
        <v>1390</v>
      </c>
      <c r="D6031" t="s">
        <v>6168</v>
      </c>
    </row>
    <row r="6032" spans="1:4">
      <c r="A6032" t="s">
        <v>11735</v>
      </c>
      <c r="B6032">
        <v>36836</v>
      </c>
      <c r="C6032" t="s">
        <v>11736</v>
      </c>
      <c r="D6032" t="s">
        <v>6168</v>
      </c>
    </row>
    <row r="6033" spans="1:4">
      <c r="A6033" t="s">
        <v>11737</v>
      </c>
      <c r="B6033">
        <v>35081</v>
      </c>
      <c r="C6033" t="s">
        <v>6697</v>
      </c>
      <c r="D6033" t="s">
        <v>6168</v>
      </c>
    </row>
    <row r="6034" spans="1:4">
      <c r="A6034" t="s">
        <v>11738</v>
      </c>
      <c r="B6034">
        <v>24197</v>
      </c>
      <c r="C6034" t="s">
        <v>11739</v>
      </c>
      <c r="D6034" t="s">
        <v>6168</v>
      </c>
    </row>
    <row r="6035" spans="1:4">
      <c r="A6035" t="s">
        <v>11740</v>
      </c>
      <c r="B6035">
        <v>35082</v>
      </c>
      <c r="C6035" t="s">
        <v>6995</v>
      </c>
      <c r="D6035" t="s">
        <v>6168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11741</v>
      </c>
      <c r="B6037">
        <v>23061</v>
      </c>
      <c r="C6037" t="s">
        <v>11742</v>
      </c>
      <c r="D6037" t="s">
        <v>6305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11743</v>
      </c>
      <c r="B6039">
        <v>70</v>
      </c>
      <c r="C6039" t="s">
        <v>11744</v>
      </c>
      <c r="D6039" t="s">
        <v>6168</v>
      </c>
    </row>
    <row r="6040" spans="1:4">
      <c r="A6040" t="s">
        <v>11745</v>
      </c>
      <c r="B6040">
        <v>71</v>
      </c>
      <c r="C6040" t="s">
        <v>11746</v>
      </c>
      <c r="D6040" t="s">
        <v>6168</v>
      </c>
    </row>
    <row r="6041" spans="1:4">
      <c r="A6041" t="s">
        <v>11747</v>
      </c>
      <c r="B6041">
        <v>72</v>
      </c>
      <c r="C6041" t="s">
        <v>11748</v>
      </c>
      <c r="D6041" t="s">
        <v>6168</v>
      </c>
    </row>
    <row r="6042" spans="1:4">
      <c r="A6042" t="s">
        <v>11749</v>
      </c>
      <c r="B6042">
        <v>73</v>
      </c>
      <c r="C6042" t="s">
        <v>1910</v>
      </c>
      <c r="D6042" t="s">
        <v>6168</v>
      </c>
    </row>
    <row r="6043" spans="1:4">
      <c r="A6043" t="s">
        <v>11750</v>
      </c>
      <c r="B6043">
        <v>74</v>
      </c>
      <c r="C6043" t="s">
        <v>11744</v>
      </c>
      <c r="D6043" t="s">
        <v>6168</v>
      </c>
    </row>
    <row r="6044" spans="1:4">
      <c r="A6044" t="s">
        <v>11751</v>
      </c>
      <c r="B6044">
        <v>75</v>
      </c>
      <c r="C6044" t="s">
        <v>11746</v>
      </c>
      <c r="D6044" t="s">
        <v>6168</v>
      </c>
    </row>
    <row r="6045" spans="1:4">
      <c r="A6045" t="s">
        <v>11752</v>
      </c>
      <c r="B6045">
        <v>76</v>
      </c>
      <c r="C6045" t="s">
        <v>11753</v>
      </c>
      <c r="D6045" t="s">
        <v>6168</v>
      </c>
    </row>
    <row r="6046" spans="1:4">
      <c r="A6046" t="s">
        <v>11754</v>
      </c>
      <c r="B6046">
        <v>77</v>
      </c>
      <c r="C6046" t="s">
        <v>1963</v>
      </c>
      <c r="D6046" t="s">
        <v>6168</v>
      </c>
    </row>
    <row r="6047" spans="1:4">
      <c r="A6047" t="s">
        <v>11755</v>
      </c>
      <c r="B6047">
        <v>2259</v>
      </c>
      <c r="C6047" t="s">
        <v>9383</v>
      </c>
      <c r="D6047" t="s">
        <v>6168</v>
      </c>
    </row>
    <row r="6048" spans="1:4">
      <c r="A6048" t="s">
        <v>11756</v>
      </c>
      <c r="B6048">
        <v>78</v>
      </c>
      <c r="C6048" t="s">
        <v>11757</v>
      </c>
      <c r="D6048" t="s">
        <v>6168</v>
      </c>
    </row>
    <row r="6049" spans="1:4">
      <c r="A6049" t="s">
        <v>11758</v>
      </c>
      <c r="B6049">
        <v>79</v>
      </c>
      <c r="C6049" t="s">
        <v>11759</v>
      </c>
      <c r="D6049" t="s">
        <v>6168</v>
      </c>
    </row>
    <row r="6050" spans="1:4">
      <c r="A6050" t="s">
        <v>11760</v>
      </c>
      <c r="B6050">
        <v>80</v>
      </c>
      <c r="C6050" t="s">
        <v>1475</v>
      </c>
      <c r="D6050" t="s">
        <v>6168</v>
      </c>
    </row>
    <row r="6051" spans="1:4">
      <c r="A6051" t="s">
        <v>11761</v>
      </c>
      <c r="B6051">
        <v>81</v>
      </c>
      <c r="C6051" t="s">
        <v>11744</v>
      </c>
      <c r="D6051" t="s">
        <v>6168</v>
      </c>
    </row>
    <row r="6052" spans="1:4">
      <c r="A6052" t="s">
        <v>11762</v>
      </c>
      <c r="B6052">
        <v>82</v>
      </c>
      <c r="C6052" t="s">
        <v>11763</v>
      </c>
      <c r="D6052" t="s">
        <v>6168</v>
      </c>
    </row>
    <row r="6053" spans="1:4">
      <c r="A6053" t="s">
        <v>11764</v>
      </c>
      <c r="B6053">
        <v>83</v>
      </c>
      <c r="C6053" t="s">
        <v>11765</v>
      </c>
      <c r="D6053" t="s">
        <v>6168</v>
      </c>
    </row>
    <row r="6054" spans="1:4">
      <c r="A6054" t="s">
        <v>11766</v>
      </c>
      <c r="B6054">
        <v>2260</v>
      </c>
      <c r="C6054" t="s">
        <v>11767</v>
      </c>
      <c r="D6054" t="s">
        <v>6168</v>
      </c>
    </row>
    <row r="6055" spans="1:4">
      <c r="A6055" t="s">
        <v>11768</v>
      </c>
      <c r="B6055">
        <v>84</v>
      </c>
      <c r="C6055" t="s">
        <v>4950</v>
      </c>
      <c r="D6055" t="s">
        <v>6168</v>
      </c>
    </row>
    <row r="6056" spans="1:4">
      <c r="A6056" t="s">
        <v>11769</v>
      </c>
      <c r="B6056">
        <v>85</v>
      </c>
      <c r="C6056" t="s">
        <v>11770</v>
      </c>
      <c r="D6056" t="s">
        <v>6168</v>
      </c>
    </row>
    <row r="6057" spans="1:4">
      <c r="A6057" t="s">
        <v>11771</v>
      </c>
      <c r="B6057">
        <v>33830</v>
      </c>
      <c r="C6057" t="s">
        <v>1613</v>
      </c>
      <c r="D6057" t="s">
        <v>6168</v>
      </c>
    </row>
    <row r="6058" spans="1:4">
      <c r="A6058" t="s">
        <v>11772</v>
      </c>
      <c r="B6058">
        <v>86</v>
      </c>
      <c r="C6058" t="s">
        <v>1963</v>
      </c>
      <c r="D6058" t="s">
        <v>6168</v>
      </c>
    </row>
    <row r="6059" spans="1:4">
      <c r="A6059" t="s">
        <v>11773</v>
      </c>
      <c r="B6059">
        <v>87</v>
      </c>
      <c r="C6059" t="s">
        <v>11757</v>
      </c>
      <c r="D6059" t="s">
        <v>6168</v>
      </c>
    </row>
    <row r="6060" spans="1:4">
      <c r="A6060" t="s">
        <v>11774</v>
      </c>
      <c r="B6060">
        <v>88</v>
      </c>
      <c r="C6060" t="s">
        <v>11775</v>
      </c>
      <c r="D6060" t="s">
        <v>6168</v>
      </c>
    </row>
    <row r="6061" spans="1:4">
      <c r="A6061" t="s">
        <v>11776</v>
      </c>
      <c r="B6061">
        <v>89</v>
      </c>
      <c r="C6061" t="s">
        <v>11744</v>
      </c>
      <c r="D6061" t="s">
        <v>6168</v>
      </c>
    </row>
    <row r="6062" spans="1:4">
      <c r="A6062" t="s">
        <v>11777</v>
      </c>
      <c r="B6062">
        <v>90</v>
      </c>
      <c r="C6062" t="s">
        <v>11744</v>
      </c>
      <c r="D6062" t="s">
        <v>6168</v>
      </c>
    </row>
    <row r="6063" spans="1:4">
      <c r="A6063" t="s">
        <v>11778</v>
      </c>
      <c r="B6063">
        <v>91</v>
      </c>
      <c r="C6063" t="s">
        <v>11779</v>
      </c>
      <c r="D6063" t="s">
        <v>6168</v>
      </c>
    </row>
    <row r="6064" spans="1:4">
      <c r="A6064" t="s">
        <v>11780</v>
      </c>
      <c r="B6064">
        <v>92</v>
      </c>
      <c r="C6064" t="s">
        <v>11781</v>
      </c>
      <c r="D6064" t="s">
        <v>6168</v>
      </c>
    </row>
    <row r="6065" spans="1:4">
      <c r="A6065" t="s">
        <v>11782</v>
      </c>
      <c r="B6065">
        <v>93</v>
      </c>
      <c r="C6065" t="s">
        <v>1910</v>
      </c>
      <c r="D6065" t="s">
        <v>6168</v>
      </c>
    </row>
    <row r="6066" spans="1:4">
      <c r="A6066" t="s">
        <v>11783</v>
      </c>
      <c r="B6066">
        <v>94</v>
      </c>
      <c r="C6066" t="s">
        <v>11779</v>
      </c>
      <c r="D6066" t="s">
        <v>6168</v>
      </c>
    </row>
    <row r="6067" spans="1:4">
      <c r="A6067" t="s">
        <v>11784</v>
      </c>
      <c r="B6067">
        <v>95</v>
      </c>
      <c r="C6067" t="s">
        <v>11785</v>
      </c>
      <c r="D6067" t="s">
        <v>6168</v>
      </c>
    </row>
    <row r="6068" spans="1:4">
      <c r="A6068" t="s">
        <v>11786</v>
      </c>
      <c r="B6068">
        <v>96</v>
      </c>
      <c r="C6068" t="s">
        <v>11787</v>
      </c>
      <c r="D6068" t="s">
        <v>6168</v>
      </c>
    </row>
    <row r="6069" spans="1:4">
      <c r="A6069" t="s">
        <v>11788</v>
      </c>
      <c r="B6069">
        <v>97</v>
      </c>
      <c r="C6069" t="s">
        <v>11789</v>
      </c>
      <c r="D6069" t="s">
        <v>6168</v>
      </c>
    </row>
    <row r="6070" spans="1:4">
      <c r="A6070" t="s">
        <v>11790</v>
      </c>
      <c r="B6070">
        <v>98</v>
      </c>
      <c r="C6070" t="s">
        <v>11744</v>
      </c>
      <c r="D6070" t="s">
        <v>6168</v>
      </c>
    </row>
    <row r="6071" spans="1:4">
      <c r="A6071" t="s">
        <v>11791</v>
      </c>
      <c r="B6071">
        <v>99</v>
      </c>
      <c r="C6071" t="s">
        <v>11792</v>
      </c>
      <c r="D6071" t="s">
        <v>6168</v>
      </c>
    </row>
    <row r="6072" spans="1:4">
      <c r="A6072" t="s">
        <v>11793</v>
      </c>
      <c r="B6072">
        <v>100</v>
      </c>
      <c r="C6072" t="s">
        <v>11794</v>
      </c>
      <c r="D6072" t="s">
        <v>6168</v>
      </c>
    </row>
    <row r="6073" spans="1:4">
      <c r="A6073" t="s">
        <v>11795</v>
      </c>
      <c r="B6073">
        <v>101</v>
      </c>
      <c r="C6073" t="s">
        <v>11796</v>
      </c>
      <c r="D6073" t="s">
        <v>6168</v>
      </c>
    </row>
    <row r="6074" spans="1:4">
      <c r="A6074" t="s">
        <v>11797</v>
      </c>
      <c r="B6074">
        <v>102</v>
      </c>
      <c r="C6074" t="s">
        <v>11798</v>
      </c>
      <c r="D6074" t="s">
        <v>6168</v>
      </c>
    </row>
    <row r="6075" spans="1:4">
      <c r="A6075" t="s">
        <v>11799</v>
      </c>
      <c r="B6075">
        <v>103</v>
      </c>
      <c r="C6075" t="s">
        <v>11744</v>
      </c>
      <c r="D6075" t="s">
        <v>6168</v>
      </c>
    </row>
    <row r="6076" spans="1:4">
      <c r="A6076" t="s">
        <v>11800</v>
      </c>
      <c r="B6076">
        <v>2258</v>
      </c>
      <c r="C6076" t="s">
        <v>11801</v>
      </c>
      <c r="D6076" t="s">
        <v>6168</v>
      </c>
    </row>
    <row r="6077" spans="1:4">
      <c r="A6077" t="s">
        <v>11802</v>
      </c>
      <c r="B6077">
        <v>104</v>
      </c>
      <c r="C6077" t="s">
        <v>1910</v>
      </c>
      <c r="D6077" t="s">
        <v>6168</v>
      </c>
    </row>
    <row r="6078" spans="1:4">
      <c r="A6078" t="s">
        <v>11803</v>
      </c>
      <c r="B6078">
        <v>105</v>
      </c>
      <c r="C6078" t="s">
        <v>11804</v>
      </c>
      <c r="D6078" t="s">
        <v>6168</v>
      </c>
    </row>
    <row r="6079" spans="1:4">
      <c r="A6079" t="s">
        <v>11805</v>
      </c>
      <c r="B6079">
        <v>106</v>
      </c>
      <c r="C6079" t="s">
        <v>11806</v>
      </c>
      <c r="D6079" t="s">
        <v>6168</v>
      </c>
    </row>
    <row r="6080" spans="1:4">
      <c r="A6080" t="s">
        <v>11807</v>
      </c>
      <c r="B6080">
        <v>107</v>
      </c>
      <c r="C6080" t="s">
        <v>11808</v>
      </c>
      <c r="D6080" t="s">
        <v>6168</v>
      </c>
    </row>
    <row r="6081" spans="1:4">
      <c r="A6081" t="s">
        <v>11809</v>
      </c>
      <c r="B6081">
        <v>108</v>
      </c>
      <c r="C6081" t="s">
        <v>11810</v>
      </c>
      <c r="D6081" t="s">
        <v>6168</v>
      </c>
    </row>
    <row r="6082" spans="1:4">
      <c r="A6082" t="s">
        <v>11811</v>
      </c>
      <c r="B6082">
        <v>109</v>
      </c>
      <c r="C6082" t="s">
        <v>11808</v>
      </c>
      <c r="D6082" t="s">
        <v>6168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11812</v>
      </c>
      <c r="B6085">
        <v>31816</v>
      </c>
      <c r="C6085" t="s">
        <v>6924</v>
      </c>
      <c r="D6085" t="s">
        <v>6168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11813</v>
      </c>
      <c r="B6087">
        <v>41195</v>
      </c>
      <c r="C6087" t="s">
        <v>11814</v>
      </c>
      <c r="D6087" t="s">
        <v>6168</v>
      </c>
    </row>
    <row r="6088" spans="1:4">
      <c r="A6088" t="s">
        <v>11815</v>
      </c>
      <c r="B6088">
        <v>30680</v>
      </c>
      <c r="C6088" t="s">
        <v>11816</v>
      </c>
      <c r="D6088" t="s">
        <v>6168</v>
      </c>
    </row>
    <row r="6089" spans="1:4">
      <c r="A6089" t="s">
        <v>11817</v>
      </c>
      <c r="B6089">
        <v>39697</v>
      </c>
      <c r="C6089" t="s">
        <v>8442</v>
      </c>
      <c r="D6089" t="s">
        <v>6168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11818</v>
      </c>
      <c r="B6092">
        <v>2659</v>
      </c>
      <c r="C6092" t="s">
        <v>1273</v>
      </c>
      <c r="D6092" t="s">
        <v>6168</v>
      </c>
    </row>
    <row r="6093" spans="1:4">
      <c r="A6093" t="s">
        <v>11819</v>
      </c>
      <c r="B6093">
        <v>2660</v>
      </c>
      <c r="C6093" t="s">
        <v>11820</v>
      </c>
      <c r="D6093" t="s">
        <v>6168</v>
      </c>
    </row>
    <row r="6094" spans="1:4">
      <c r="A6094" t="s">
        <v>11821</v>
      </c>
      <c r="B6094">
        <v>22231</v>
      </c>
      <c r="C6094" t="s">
        <v>492</v>
      </c>
      <c r="D6094" t="s">
        <v>6168</v>
      </c>
    </row>
    <row r="6095" spans="1:4">
      <c r="A6095" t="s">
        <v>11822</v>
      </c>
      <c r="B6095">
        <v>25916</v>
      </c>
      <c r="D6095" t="s">
        <v>6168</v>
      </c>
    </row>
    <row r="6096" spans="1:4">
      <c r="A6096" t="s">
        <v>11823</v>
      </c>
      <c r="B6096">
        <v>2661</v>
      </c>
      <c r="C6096" t="s">
        <v>1273</v>
      </c>
      <c r="D6096" t="s">
        <v>6168</v>
      </c>
    </row>
    <row r="6097" spans="1:4">
      <c r="A6097" t="s">
        <v>11824</v>
      </c>
      <c r="B6097">
        <v>25552</v>
      </c>
      <c r="C6097" t="s">
        <v>432</v>
      </c>
      <c r="D6097" t="s">
        <v>6168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11825</v>
      </c>
      <c r="B6099">
        <v>20390</v>
      </c>
      <c r="D6099" t="s">
        <v>6267</v>
      </c>
    </row>
    <row r="6100" spans="1:4">
      <c r="A6100" t="s">
        <v>11826</v>
      </c>
      <c r="B6100">
        <v>22232</v>
      </c>
      <c r="D6100" t="s">
        <v>6314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11827</v>
      </c>
      <c r="B6103">
        <v>29697</v>
      </c>
      <c r="C6103" t="s">
        <v>6219</v>
      </c>
      <c r="D6103" t="s">
        <v>6168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11828</v>
      </c>
      <c r="B6106">
        <v>31071</v>
      </c>
      <c r="C6106" t="s">
        <v>11829</v>
      </c>
      <c r="D6106" t="s">
        <v>6168</v>
      </c>
    </row>
    <row r="6107" spans="1:4">
      <c r="A6107" t="s">
        <v>11830</v>
      </c>
      <c r="B6107">
        <v>38748</v>
      </c>
      <c r="C6107" t="s">
        <v>11831</v>
      </c>
      <c r="D6107" t="s">
        <v>6168</v>
      </c>
    </row>
    <row r="6108" spans="1:4">
      <c r="A6108" t="s">
        <v>11832</v>
      </c>
      <c r="B6108">
        <v>29243</v>
      </c>
      <c r="C6108" t="s">
        <v>6974</v>
      </c>
      <c r="D6108" t="s">
        <v>6168</v>
      </c>
    </row>
    <row r="6109" spans="1:4">
      <c r="A6109" t="s">
        <v>11833</v>
      </c>
      <c r="B6109">
        <v>35084</v>
      </c>
      <c r="C6109" t="s">
        <v>11732</v>
      </c>
      <c r="D6109" t="s">
        <v>6168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11834</v>
      </c>
      <c r="B6111">
        <v>39573</v>
      </c>
      <c r="C6111" t="s">
        <v>1223</v>
      </c>
      <c r="D6111" t="s">
        <v>6267</v>
      </c>
    </row>
    <row r="6112" spans="1:4">
      <c r="A6112" t="s">
        <v>11835</v>
      </c>
      <c r="B6112">
        <v>39513</v>
      </c>
      <c r="C6112" t="s">
        <v>1223</v>
      </c>
      <c r="D6112" t="s">
        <v>6314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16946</v>
      </c>
      <c r="B6114">
        <v>44014</v>
      </c>
      <c r="C6114" t="s">
        <v>16947</v>
      </c>
      <c r="D6114" t="s">
        <v>123</v>
      </c>
    </row>
    <row r="6115" spans="1:4">
      <c r="A6115" t="s">
        <v>16991</v>
      </c>
      <c r="B6115">
        <v>44244</v>
      </c>
      <c r="C6115" t="s">
        <v>6689</v>
      </c>
      <c r="D6115" t="s">
        <v>6168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11836</v>
      </c>
      <c r="B6117">
        <v>4606</v>
      </c>
      <c r="C6117" t="s">
        <v>11703</v>
      </c>
      <c r="D6117" t="s">
        <v>6168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11837</v>
      </c>
      <c r="B6120">
        <v>34171</v>
      </c>
      <c r="C6120" t="s">
        <v>9286</v>
      </c>
      <c r="D6120" t="s">
        <v>6168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11838</v>
      </c>
      <c r="B6122">
        <v>29555</v>
      </c>
      <c r="C6122" t="s">
        <v>465</v>
      </c>
      <c r="D6122" t="s">
        <v>6314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11839</v>
      </c>
      <c r="B6124">
        <v>40505</v>
      </c>
      <c r="C6124" t="s">
        <v>6558</v>
      </c>
      <c r="D6124" t="s">
        <v>6168</v>
      </c>
    </row>
    <row r="6125" spans="1:4">
      <c r="A6125" t="s">
        <v>11840</v>
      </c>
      <c r="B6125">
        <v>31375</v>
      </c>
      <c r="C6125" t="s">
        <v>6558</v>
      </c>
      <c r="D6125" t="s">
        <v>6168</v>
      </c>
    </row>
    <row r="6126" spans="1:4">
      <c r="A6126" t="s">
        <v>11841</v>
      </c>
      <c r="B6126">
        <v>29627</v>
      </c>
      <c r="C6126" t="s">
        <v>11842</v>
      </c>
      <c r="D6126" t="s">
        <v>6168</v>
      </c>
    </row>
    <row r="6127" spans="1:4">
      <c r="A6127" t="s">
        <v>17455</v>
      </c>
      <c r="B6127">
        <v>45746</v>
      </c>
      <c r="C6127" t="s">
        <v>17456</v>
      </c>
      <c r="D6127" t="s">
        <v>6168</v>
      </c>
    </row>
    <row r="6128" spans="1:4">
      <c r="A6128" t="s">
        <v>11843</v>
      </c>
      <c r="B6128">
        <v>35302</v>
      </c>
      <c r="C6128" t="s">
        <v>6583</v>
      </c>
      <c r="D6128" t="s">
        <v>6168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11844</v>
      </c>
      <c r="B6130">
        <v>35303</v>
      </c>
      <c r="C6130" t="s">
        <v>11845</v>
      </c>
      <c r="D6130" t="s">
        <v>6168</v>
      </c>
    </row>
    <row r="6131" spans="1:4">
      <c r="A6131" t="s">
        <v>11846</v>
      </c>
      <c r="B6131">
        <v>22234</v>
      </c>
      <c r="C6131" t="s">
        <v>11847</v>
      </c>
      <c r="D6131" t="s">
        <v>6168</v>
      </c>
    </row>
    <row r="6132" spans="1:4">
      <c r="A6132" t="s">
        <v>11848</v>
      </c>
      <c r="B6132">
        <v>42777</v>
      </c>
      <c r="C6132" t="s">
        <v>16706</v>
      </c>
      <c r="D6132" t="s">
        <v>6168</v>
      </c>
    </row>
    <row r="6133" spans="1:4">
      <c r="A6133" t="s">
        <v>11849</v>
      </c>
      <c r="B6133">
        <v>30048</v>
      </c>
      <c r="C6133" t="s">
        <v>11850</v>
      </c>
      <c r="D6133" t="s">
        <v>6168</v>
      </c>
    </row>
    <row r="6134" spans="1:4">
      <c r="A6134" t="s">
        <v>11851</v>
      </c>
      <c r="B6134">
        <v>29352</v>
      </c>
      <c r="C6134" t="s">
        <v>6190</v>
      </c>
      <c r="D6134" t="s">
        <v>6168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11852</v>
      </c>
      <c r="B6136">
        <v>29628</v>
      </c>
      <c r="C6136" t="s">
        <v>11853</v>
      </c>
      <c r="D6136" t="s">
        <v>6168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11854</v>
      </c>
      <c r="B6138">
        <v>42195</v>
      </c>
      <c r="C6138" t="s">
        <v>4950</v>
      </c>
      <c r="D6138" t="s">
        <v>6168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11855</v>
      </c>
      <c r="B6144">
        <v>3163</v>
      </c>
      <c r="D6144" t="s">
        <v>6267</v>
      </c>
    </row>
    <row r="6145" spans="1:4">
      <c r="A6145" t="s">
        <v>11856</v>
      </c>
      <c r="B6145">
        <v>3162</v>
      </c>
      <c r="D6145" t="s">
        <v>6305</v>
      </c>
    </row>
    <row r="6146" spans="1:4">
      <c r="A6146" t="s">
        <v>11857</v>
      </c>
      <c r="B6146">
        <v>20391</v>
      </c>
      <c r="C6146" t="s">
        <v>11858</v>
      </c>
      <c r="D6146" t="s">
        <v>6314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16818</v>
      </c>
      <c r="B6148">
        <v>43859</v>
      </c>
      <c r="C6148" t="s">
        <v>1421</v>
      </c>
      <c r="D6148" t="s">
        <v>6168</v>
      </c>
    </row>
    <row r="6149" spans="1:4">
      <c r="A6149" t="s">
        <v>11859</v>
      </c>
      <c r="B6149">
        <v>34250</v>
      </c>
      <c r="C6149" t="s">
        <v>1421</v>
      </c>
      <c r="D6149" t="s">
        <v>6168</v>
      </c>
    </row>
    <row r="6150" spans="1:4">
      <c r="A6150" t="s">
        <v>11860</v>
      </c>
      <c r="B6150">
        <v>38863</v>
      </c>
      <c r="C6150" t="s">
        <v>1421</v>
      </c>
      <c r="D6150" t="s">
        <v>6168</v>
      </c>
    </row>
    <row r="6151" spans="1:4">
      <c r="A6151" t="s">
        <v>11861</v>
      </c>
      <c r="B6151">
        <v>34236</v>
      </c>
      <c r="C6151" t="s">
        <v>11862</v>
      </c>
      <c r="D6151" t="s">
        <v>6168</v>
      </c>
    </row>
    <row r="6152" spans="1:4">
      <c r="A6152" t="s">
        <v>11863</v>
      </c>
      <c r="B6152">
        <v>37506</v>
      </c>
      <c r="C6152" t="s">
        <v>1421</v>
      </c>
      <c r="D6152" t="s">
        <v>6168</v>
      </c>
    </row>
    <row r="6153" spans="1:4">
      <c r="A6153" t="s">
        <v>11864</v>
      </c>
      <c r="B6153">
        <v>3161</v>
      </c>
      <c r="C6153" t="s">
        <v>8630</v>
      </c>
      <c r="D6153" t="s">
        <v>6168</v>
      </c>
    </row>
    <row r="6154" spans="1:4">
      <c r="A6154" t="s">
        <v>11865</v>
      </c>
      <c r="B6154">
        <v>38862</v>
      </c>
      <c r="C6154" t="s">
        <v>7566</v>
      </c>
      <c r="D6154" t="s">
        <v>6168</v>
      </c>
    </row>
    <row r="6155" spans="1:4">
      <c r="A6155" t="s">
        <v>11866</v>
      </c>
      <c r="B6155">
        <v>33840</v>
      </c>
      <c r="C6155" t="s">
        <v>1421</v>
      </c>
      <c r="D6155" t="s">
        <v>6168</v>
      </c>
    </row>
    <row r="6156" spans="1:4">
      <c r="A6156" t="s">
        <v>11867</v>
      </c>
      <c r="B6156">
        <v>37857</v>
      </c>
      <c r="C6156" t="s">
        <v>1421</v>
      </c>
      <c r="D6156" t="s">
        <v>6168</v>
      </c>
    </row>
    <row r="6157" spans="1:4">
      <c r="A6157" t="s">
        <v>11868</v>
      </c>
      <c r="B6157">
        <v>31207</v>
      </c>
      <c r="C6157" t="s">
        <v>11869</v>
      </c>
      <c r="D6157" t="s">
        <v>6168</v>
      </c>
    </row>
    <row r="6158" spans="1:4">
      <c r="A6158" t="s">
        <v>11870</v>
      </c>
      <c r="B6158">
        <v>37512</v>
      </c>
      <c r="C6158" t="s">
        <v>1421</v>
      </c>
      <c r="D6158" t="s">
        <v>6168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11871</v>
      </c>
      <c r="B6161">
        <v>2564</v>
      </c>
      <c r="C6161" t="s">
        <v>11872</v>
      </c>
      <c r="D6161" t="s">
        <v>6168</v>
      </c>
    </row>
    <row r="6162" spans="1:4">
      <c r="A6162" t="s">
        <v>11873</v>
      </c>
      <c r="B6162">
        <v>31211</v>
      </c>
      <c r="C6162" t="s">
        <v>1832</v>
      </c>
      <c r="D6162" t="s">
        <v>6168</v>
      </c>
    </row>
    <row r="6163" spans="1:4">
      <c r="A6163" t="s">
        <v>11874</v>
      </c>
      <c r="B6163">
        <v>2565</v>
      </c>
      <c r="C6163" t="s">
        <v>11875</v>
      </c>
      <c r="D6163" t="s">
        <v>6168</v>
      </c>
    </row>
    <row r="6164" spans="1:4">
      <c r="A6164" t="s">
        <v>11876</v>
      </c>
      <c r="B6164">
        <v>2566</v>
      </c>
      <c r="C6164" t="s">
        <v>11877</v>
      </c>
      <c r="D6164" t="s">
        <v>6168</v>
      </c>
    </row>
    <row r="6165" spans="1:4">
      <c r="A6165" t="s">
        <v>11878</v>
      </c>
      <c r="B6165">
        <v>2568</v>
      </c>
      <c r="C6165" t="s">
        <v>11872</v>
      </c>
      <c r="D6165" t="s">
        <v>6168</v>
      </c>
    </row>
    <row r="6166" spans="1:4">
      <c r="A6166" t="s">
        <v>11879</v>
      </c>
      <c r="B6166">
        <v>2569</v>
      </c>
      <c r="C6166" t="s">
        <v>11880</v>
      </c>
      <c r="D6166" t="s">
        <v>6168</v>
      </c>
    </row>
    <row r="6167" spans="1:4">
      <c r="A6167" t="s">
        <v>11881</v>
      </c>
      <c r="B6167">
        <v>2567</v>
      </c>
      <c r="C6167" t="s">
        <v>11882</v>
      </c>
      <c r="D6167" t="s">
        <v>6168</v>
      </c>
    </row>
    <row r="6168" spans="1:4">
      <c r="A6168" t="s">
        <v>11883</v>
      </c>
      <c r="B6168">
        <v>23103</v>
      </c>
      <c r="C6168" t="s">
        <v>11884</v>
      </c>
      <c r="D6168" t="s">
        <v>6267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11885</v>
      </c>
      <c r="B6171">
        <v>2992</v>
      </c>
      <c r="D6171" t="s">
        <v>6168</v>
      </c>
    </row>
    <row r="6172" spans="1:4">
      <c r="A6172" t="s">
        <v>11886</v>
      </c>
      <c r="B6172">
        <v>2991</v>
      </c>
      <c r="C6172" t="s">
        <v>346</v>
      </c>
      <c r="D6172" t="s">
        <v>6168</v>
      </c>
    </row>
    <row r="6173" spans="1:4">
      <c r="A6173" t="s">
        <v>11887</v>
      </c>
      <c r="B6173">
        <v>2990</v>
      </c>
      <c r="C6173" t="s">
        <v>9478</v>
      </c>
      <c r="D6173" t="s">
        <v>6168</v>
      </c>
    </row>
    <row r="6174" spans="1:4">
      <c r="A6174" t="s">
        <v>11888</v>
      </c>
      <c r="B6174">
        <v>2989</v>
      </c>
      <c r="C6174" t="s">
        <v>11889</v>
      </c>
      <c r="D6174" t="s">
        <v>6168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11890</v>
      </c>
      <c r="B6176">
        <v>32601</v>
      </c>
      <c r="C6176" t="s">
        <v>11891</v>
      </c>
      <c r="D6176" t="s">
        <v>6168</v>
      </c>
    </row>
    <row r="6177" spans="1:4">
      <c r="A6177" t="s">
        <v>11892</v>
      </c>
      <c r="B6177">
        <v>4494</v>
      </c>
      <c r="C6177" t="s">
        <v>11893</v>
      </c>
      <c r="D6177" t="s">
        <v>6245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11894</v>
      </c>
      <c r="B6179">
        <v>23213</v>
      </c>
      <c r="C6179" t="s">
        <v>3014</v>
      </c>
      <c r="D6179" t="s">
        <v>6168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11895</v>
      </c>
      <c r="B6181">
        <v>41807</v>
      </c>
      <c r="C6181" t="s">
        <v>6239</v>
      </c>
      <c r="D6181" t="s">
        <v>6168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11896</v>
      </c>
      <c r="B6186">
        <v>2735</v>
      </c>
      <c r="C6186" t="s">
        <v>11897</v>
      </c>
      <c r="D6186" t="s">
        <v>6168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11898</v>
      </c>
      <c r="B6188">
        <v>29880</v>
      </c>
      <c r="C6188" t="s">
        <v>11899</v>
      </c>
      <c r="D6188" t="s">
        <v>6168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11900</v>
      </c>
      <c r="B6190">
        <v>39510</v>
      </c>
      <c r="C6190" t="s">
        <v>11901</v>
      </c>
      <c r="D6190" t="s">
        <v>6230</v>
      </c>
    </row>
    <row r="6191" spans="1:4">
      <c r="A6191" t="s">
        <v>11902</v>
      </c>
      <c r="B6191">
        <v>40504</v>
      </c>
      <c r="C6191" t="s">
        <v>3514</v>
      </c>
      <c r="D6191" t="s">
        <v>6314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11903</v>
      </c>
      <c r="B6193">
        <v>578</v>
      </c>
      <c r="C6193" t="s">
        <v>11904</v>
      </c>
      <c r="D6193" t="s">
        <v>6168</v>
      </c>
    </row>
    <row r="6194" spans="1:4">
      <c r="A6194" t="s">
        <v>11905</v>
      </c>
      <c r="B6194">
        <v>26217</v>
      </c>
      <c r="C6194" t="s">
        <v>11906</v>
      </c>
      <c r="D6194" t="s">
        <v>6245</v>
      </c>
    </row>
    <row r="6195" spans="1:4">
      <c r="A6195" t="s">
        <v>11907</v>
      </c>
      <c r="B6195">
        <v>22236</v>
      </c>
      <c r="C6195" t="s">
        <v>264</v>
      </c>
      <c r="D6195" t="s">
        <v>6314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11908</v>
      </c>
      <c r="B6198">
        <v>20393</v>
      </c>
      <c r="D6198" t="s">
        <v>6305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11909</v>
      </c>
      <c r="B6201">
        <v>22239</v>
      </c>
      <c r="C6201" t="s">
        <v>11910</v>
      </c>
      <c r="D6201" t="s">
        <v>6168</v>
      </c>
    </row>
    <row r="6202" spans="1:4">
      <c r="A6202" t="s">
        <v>11911</v>
      </c>
      <c r="B6202">
        <v>22240</v>
      </c>
      <c r="C6202" t="s">
        <v>2723</v>
      </c>
      <c r="D6202" t="s">
        <v>6314</v>
      </c>
    </row>
    <row r="6203" spans="1:4">
      <c r="A6203" t="s">
        <v>11912</v>
      </c>
      <c r="B6203">
        <v>31805</v>
      </c>
      <c r="C6203" t="s">
        <v>6558</v>
      </c>
      <c r="D6203" t="s">
        <v>6168</v>
      </c>
    </row>
    <row r="6204" spans="1:4">
      <c r="A6204" t="s">
        <v>11913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11914</v>
      </c>
      <c r="B6210">
        <v>40895</v>
      </c>
      <c r="C6210" t="s">
        <v>11915</v>
      </c>
      <c r="D6210" t="s">
        <v>6605</v>
      </c>
    </row>
    <row r="6211" spans="1:4">
      <c r="A6211" t="s">
        <v>11916</v>
      </c>
      <c r="B6211">
        <v>40896</v>
      </c>
      <c r="C6211" t="s">
        <v>11917</v>
      </c>
      <c r="D6211" t="s">
        <v>6245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11918</v>
      </c>
      <c r="B6213">
        <v>40503</v>
      </c>
      <c r="C6213" t="s">
        <v>11919</v>
      </c>
      <c r="D6213" t="s">
        <v>7283</v>
      </c>
    </row>
    <row r="6214" spans="1:4">
      <c r="A6214" t="s">
        <v>11920</v>
      </c>
      <c r="B6214">
        <v>40897</v>
      </c>
      <c r="C6214" t="s">
        <v>4470</v>
      </c>
      <c r="D6214" t="s">
        <v>6314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11921</v>
      </c>
      <c r="B6216">
        <v>35207</v>
      </c>
      <c r="C6216" t="s">
        <v>8013</v>
      </c>
      <c r="D6216" t="s">
        <v>6168</v>
      </c>
    </row>
    <row r="6217" spans="1:4">
      <c r="A6217" t="s">
        <v>11922</v>
      </c>
      <c r="B6217">
        <v>25339</v>
      </c>
      <c r="D6217" t="s">
        <v>6168</v>
      </c>
    </row>
    <row r="6218" spans="1:4">
      <c r="A6218" t="s">
        <v>11923</v>
      </c>
      <c r="B6218">
        <v>42070</v>
      </c>
      <c r="C6218" t="s">
        <v>11924</v>
      </c>
      <c r="D6218" t="s">
        <v>6168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11925</v>
      </c>
      <c r="B6220">
        <v>4022</v>
      </c>
      <c r="C6220" t="s">
        <v>7313</v>
      </c>
      <c r="D6220" t="s">
        <v>6168</v>
      </c>
    </row>
    <row r="6221" spans="1:4">
      <c r="A6221" t="s">
        <v>11926</v>
      </c>
      <c r="B6221">
        <v>30349</v>
      </c>
      <c r="C6221" t="s">
        <v>11927</v>
      </c>
      <c r="D6221" t="s">
        <v>6168</v>
      </c>
    </row>
    <row r="6222" spans="1:4">
      <c r="A6222" t="s">
        <v>11928</v>
      </c>
      <c r="B6222">
        <v>4023</v>
      </c>
      <c r="C6222" t="s">
        <v>6914</v>
      </c>
      <c r="D6222" t="s">
        <v>6168</v>
      </c>
    </row>
    <row r="6223" spans="1:4">
      <c r="A6223" t="s">
        <v>11929</v>
      </c>
      <c r="B6223">
        <v>4018</v>
      </c>
      <c r="C6223" t="s">
        <v>4950</v>
      </c>
      <c r="D6223" t="s">
        <v>6168</v>
      </c>
    </row>
    <row r="6224" spans="1:4">
      <c r="A6224" t="s">
        <v>11930</v>
      </c>
      <c r="B6224">
        <v>4019</v>
      </c>
      <c r="C6224" t="s">
        <v>8251</v>
      </c>
      <c r="D6224" t="s">
        <v>6168</v>
      </c>
    </row>
    <row r="6225" spans="1:4">
      <c r="A6225" t="s">
        <v>11931</v>
      </c>
      <c r="B6225">
        <v>30354</v>
      </c>
      <c r="C6225" t="s">
        <v>7720</v>
      </c>
      <c r="D6225" t="s">
        <v>6168</v>
      </c>
    </row>
    <row r="6226" spans="1:4">
      <c r="A6226" t="s">
        <v>11932</v>
      </c>
      <c r="B6226">
        <v>22962</v>
      </c>
      <c r="C6226" t="s">
        <v>7313</v>
      </c>
      <c r="D6226" t="s">
        <v>6168</v>
      </c>
    </row>
    <row r="6227" spans="1:4">
      <c r="A6227" t="s">
        <v>11933</v>
      </c>
      <c r="B6227">
        <v>25493</v>
      </c>
      <c r="C6227" t="s">
        <v>11934</v>
      </c>
      <c r="D6227" t="s">
        <v>6168</v>
      </c>
    </row>
    <row r="6228" spans="1:4">
      <c r="A6228" t="s">
        <v>11935</v>
      </c>
      <c r="B6228">
        <v>4021</v>
      </c>
      <c r="C6228" t="s">
        <v>6060</v>
      </c>
      <c r="D6228" t="s">
        <v>6168</v>
      </c>
    </row>
    <row r="6229" spans="1:4">
      <c r="A6229" t="s">
        <v>11936</v>
      </c>
      <c r="B6229">
        <v>4020</v>
      </c>
      <c r="C6229" t="s">
        <v>7348</v>
      </c>
      <c r="D6229" t="s">
        <v>6168</v>
      </c>
    </row>
    <row r="6230" spans="1:4">
      <c r="A6230" t="s">
        <v>11937</v>
      </c>
      <c r="B6230">
        <v>4024</v>
      </c>
      <c r="C6230" t="s">
        <v>11269</v>
      </c>
      <c r="D6230" t="s">
        <v>6168</v>
      </c>
    </row>
    <row r="6231" spans="1:4">
      <c r="A6231" t="s">
        <v>11938</v>
      </c>
      <c r="B6231">
        <v>22963</v>
      </c>
      <c r="C6231" t="s">
        <v>11939</v>
      </c>
      <c r="D6231" t="s">
        <v>6168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11940</v>
      </c>
      <c r="B6233">
        <v>40502</v>
      </c>
      <c r="C6233" t="s">
        <v>4950</v>
      </c>
      <c r="D6233" t="s">
        <v>6168</v>
      </c>
    </row>
    <row r="6234" spans="1:4">
      <c r="A6234" t="s">
        <v>11941</v>
      </c>
      <c r="B6234">
        <v>40501</v>
      </c>
      <c r="C6234" t="s">
        <v>7273</v>
      </c>
      <c r="D6234" t="s">
        <v>6168</v>
      </c>
    </row>
    <row r="6235" spans="1:4">
      <c r="A6235" t="s">
        <v>11942</v>
      </c>
      <c r="B6235">
        <v>25172</v>
      </c>
      <c r="C6235" t="s">
        <v>7733</v>
      </c>
      <c r="D6235" t="s">
        <v>6168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11943</v>
      </c>
      <c r="B6237">
        <v>22242</v>
      </c>
      <c r="C6237" t="s">
        <v>6483</v>
      </c>
      <c r="D6237" t="s">
        <v>6168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11944</v>
      </c>
      <c r="B6240">
        <v>30753</v>
      </c>
      <c r="C6240" t="s">
        <v>11945</v>
      </c>
      <c r="D6240" t="s">
        <v>6168</v>
      </c>
    </row>
    <row r="6241" spans="1:4">
      <c r="A6241" t="s">
        <v>11946</v>
      </c>
      <c r="B6241">
        <v>30752</v>
      </c>
      <c r="C6241" t="s">
        <v>11947</v>
      </c>
      <c r="D6241" t="s">
        <v>6168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11948</v>
      </c>
      <c r="B6243">
        <v>2752</v>
      </c>
      <c r="C6243" t="s">
        <v>11949</v>
      </c>
      <c r="D6243" t="s">
        <v>6168</v>
      </c>
    </row>
    <row r="6244" spans="1:4">
      <c r="A6244" t="s">
        <v>11950</v>
      </c>
      <c r="B6244">
        <v>2753</v>
      </c>
      <c r="C6244" t="s">
        <v>1822</v>
      </c>
      <c r="D6244" t="s">
        <v>6168</v>
      </c>
    </row>
    <row r="6245" spans="1:4">
      <c r="A6245" t="s">
        <v>11951</v>
      </c>
      <c r="B6245">
        <v>2749</v>
      </c>
      <c r="C6245" t="s">
        <v>9161</v>
      </c>
      <c r="D6245" t="s">
        <v>6168</v>
      </c>
    </row>
    <row r="6246" spans="1:4">
      <c r="A6246" t="s">
        <v>11952</v>
      </c>
      <c r="B6246">
        <v>31761</v>
      </c>
      <c r="C6246" t="s">
        <v>11953</v>
      </c>
      <c r="D6246" t="s">
        <v>6168</v>
      </c>
    </row>
    <row r="6247" spans="1:4">
      <c r="A6247" t="s">
        <v>11954</v>
      </c>
      <c r="B6247">
        <v>2751</v>
      </c>
      <c r="C6247" t="s">
        <v>11955</v>
      </c>
      <c r="D6247" t="s">
        <v>6168</v>
      </c>
    </row>
    <row r="6248" spans="1:4">
      <c r="A6248" t="s">
        <v>11956</v>
      </c>
      <c r="B6248">
        <v>2750</v>
      </c>
      <c r="C6248" t="s">
        <v>11957</v>
      </c>
      <c r="D6248" t="s">
        <v>6168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11958</v>
      </c>
      <c r="B6251">
        <v>4531</v>
      </c>
      <c r="C6251" t="s">
        <v>11959</v>
      </c>
      <c r="D6251" t="s">
        <v>6168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11960</v>
      </c>
      <c r="B6253">
        <v>22244</v>
      </c>
      <c r="C6253" t="s">
        <v>7942</v>
      </c>
      <c r="D6253" t="s">
        <v>6168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11961</v>
      </c>
      <c r="B6255">
        <v>35725</v>
      </c>
      <c r="C6255" t="s">
        <v>4514</v>
      </c>
      <c r="D6255" t="s">
        <v>6168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11962</v>
      </c>
      <c r="B6257">
        <v>22246</v>
      </c>
      <c r="C6257" t="s">
        <v>11963</v>
      </c>
      <c r="D6257" t="s">
        <v>6168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11964</v>
      </c>
      <c r="B6260">
        <v>26215</v>
      </c>
      <c r="C6260" t="s">
        <v>11965</v>
      </c>
      <c r="D6260" t="s">
        <v>6168</v>
      </c>
    </row>
    <row r="6261" spans="1:4">
      <c r="A6261" t="s">
        <v>11966</v>
      </c>
      <c r="B6261">
        <v>24201</v>
      </c>
      <c r="C6261" t="s">
        <v>11967</v>
      </c>
      <c r="D6261" t="s">
        <v>6168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11968</v>
      </c>
      <c r="B6263">
        <v>41682</v>
      </c>
      <c r="C6263" t="s">
        <v>11969</v>
      </c>
      <c r="D6263" t="s">
        <v>6168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11970</v>
      </c>
      <c r="B6265">
        <v>290</v>
      </c>
      <c r="C6265" t="s">
        <v>11971</v>
      </c>
      <c r="D6265" t="s">
        <v>6168</v>
      </c>
    </row>
    <row r="6266" spans="1:4">
      <c r="A6266" t="s">
        <v>11972</v>
      </c>
      <c r="B6266">
        <v>291</v>
      </c>
      <c r="C6266" t="s">
        <v>11971</v>
      </c>
      <c r="D6266" t="s">
        <v>6168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11973</v>
      </c>
      <c r="B6269">
        <v>990</v>
      </c>
      <c r="C6269" t="s">
        <v>11974</v>
      </c>
      <c r="D6269" t="s">
        <v>6168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11975</v>
      </c>
      <c r="B6271">
        <v>4220</v>
      </c>
      <c r="C6271" t="s">
        <v>4950</v>
      </c>
      <c r="D6271" t="s">
        <v>6168</v>
      </c>
    </row>
    <row r="6272" spans="1:4">
      <c r="A6272" t="s">
        <v>11976</v>
      </c>
      <c r="B6272">
        <v>43486</v>
      </c>
      <c r="C6272" t="s">
        <v>11977</v>
      </c>
      <c r="D6272" t="s">
        <v>123</v>
      </c>
    </row>
    <row r="6273" spans="1:4">
      <c r="A6273" t="s">
        <v>2701</v>
      </c>
      <c r="B6273">
        <v>24736</v>
      </c>
      <c r="C6273" t="s">
        <v>11978</v>
      </c>
      <c r="D6273" t="s">
        <v>123</v>
      </c>
    </row>
    <row r="6274" spans="1:4">
      <c r="A6274" t="s">
        <v>11979</v>
      </c>
      <c r="B6274">
        <v>25176</v>
      </c>
      <c r="C6274" t="s">
        <v>11978</v>
      </c>
      <c r="D6274" t="s">
        <v>6168</v>
      </c>
    </row>
    <row r="6275" spans="1:4">
      <c r="A6275" t="s">
        <v>16869</v>
      </c>
      <c r="B6275">
        <v>43929</v>
      </c>
      <c r="C6275" t="s">
        <v>6845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11980</v>
      </c>
      <c r="B6277">
        <v>22248</v>
      </c>
      <c r="C6277" t="s">
        <v>8314</v>
      </c>
      <c r="D6277" t="s">
        <v>6168</v>
      </c>
    </row>
    <row r="6278" spans="1:4">
      <c r="A6278" t="s">
        <v>11981</v>
      </c>
      <c r="B6278">
        <v>22249</v>
      </c>
      <c r="C6278" t="s">
        <v>8314</v>
      </c>
      <c r="D6278" t="s">
        <v>6168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17186</v>
      </c>
      <c r="B6280">
        <v>44507</v>
      </c>
      <c r="C6280" t="s">
        <v>17187</v>
      </c>
      <c r="D6280" t="s">
        <v>6168</v>
      </c>
    </row>
    <row r="6281" spans="1:4">
      <c r="A6281" t="s">
        <v>11982</v>
      </c>
      <c r="B6281">
        <v>34030</v>
      </c>
      <c r="C6281" t="s">
        <v>11983</v>
      </c>
      <c r="D6281" t="s">
        <v>6168</v>
      </c>
    </row>
    <row r="6282" spans="1:4">
      <c r="A6282" t="s">
        <v>11984</v>
      </c>
      <c r="B6282">
        <v>4111</v>
      </c>
      <c r="C6282" t="s">
        <v>4950</v>
      </c>
      <c r="D6282" t="s">
        <v>6168</v>
      </c>
    </row>
    <row r="6283" spans="1:4">
      <c r="A6283" t="s">
        <v>11985</v>
      </c>
      <c r="B6283">
        <v>34031</v>
      </c>
      <c r="C6283" t="s">
        <v>4950</v>
      </c>
      <c r="D6283" t="s">
        <v>6168</v>
      </c>
    </row>
    <row r="6284" spans="1:4">
      <c r="A6284" t="s">
        <v>11986</v>
      </c>
      <c r="B6284">
        <v>24737</v>
      </c>
      <c r="C6284" t="s">
        <v>6583</v>
      </c>
      <c r="D6284" t="s">
        <v>6168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11987</v>
      </c>
      <c r="B6286">
        <v>23787</v>
      </c>
      <c r="C6286" t="s">
        <v>11988</v>
      </c>
      <c r="D6286" t="s">
        <v>6245</v>
      </c>
    </row>
    <row r="6287" spans="1:4">
      <c r="A6287" t="s">
        <v>11989</v>
      </c>
      <c r="B6287">
        <v>22250</v>
      </c>
      <c r="C6287" t="s">
        <v>3007</v>
      </c>
      <c r="D6287" t="s">
        <v>6267</v>
      </c>
    </row>
    <row r="6288" spans="1:4">
      <c r="A6288" t="s">
        <v>11990</v>
      </c>
      <c r="B6288">
        <v>22251</v>
      </c>
      <c r="C6288" t="s">
        <v>3007</v>
      </c>
      <c r="D6288" t="s">
        <v>6314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11991</v>
      </c>
      <c r="B6290">
        <v>4416</v>
      </c>
      <c r="C6290" t="s">
        <v>4594</v>
      </c>
      <c r="D6290" t="s">
        <v>6168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11992</v>
      </c>
      <c r="B6292">
        <v>36056</v>
      </c>
      <c r="C6292" t="s">
        <v>11993</v>
      </c>
      <c r="D6292" t="s">
        <v>6168</v>
      </c>
    </row>
    <row r="6293" spans="1:4">
      <c r="A6293" t="s">
        <v>11994</v>
      </c>
      <c r="B6293">
        <v>4539</v>
      </c>
      <c r="C6293" t="s">
        <v>1111</v>
      </c>
      <c r="D6293" t="s">
        <v>6245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11995</v>
      </c>
      <c r="B6295">
        <v>31800</v>
      </c>
      <c r="C6295" t="s">
        <v>6558</v>
      </c>
      <c r="D6295" t="s">
        <v>6168</v>
      </c>
    </row>
    <row r="6296" spans="1:4">
      <c r="A6296" t="s">
        <v>11996</v>
      </c>
      <c r="B6296">
        <v>31801</v>
      </c>
      <c r="C6296" t="s">
        <v>4950</v>
      </c>
      <c r="D6296" t="s">
        <v>6168</v>
      </c>
    </row>
    <row r="6297" spans="1:4">
      <c r="A6297" t="s">
        <v>16870</v>
      </c>
      <c r="B6297">
        <v>43930</v>
      </c>
      <c r="C6297" t="s">
        <v>4950</v>
      </c>
      <c r="D6297" t="s">
        <v>6168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11997</v>
      </c>
      <c r="B6299">
        <v>41582</v>
      </c>
      <c r="C6299" t="s">
        <v>6424</v>
      </c>
      <c r="D6299" t="s">
        <v>6168</v>
      </c>
    </row>
    <row r="6300" spans="1:4">
      <c r="A6300" t="s">
        <v>11998</v>
      </c>
      <c r="B6300">
        <v>41583</v>
      </c>
      <c r="C6300" t="s">
        <v>6216</v>
      </c>
      <c r="D6300" t="s">
        <v>6168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11999</v>
      </c>
      <c r="B6304">
        <v>30619</v>
      </c>
      <c r="C6304" t="s">
        <v>11473</v>
      </c>
      <c r="D6304" t="s">
        <v>6168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12000</v>
      </c>
      <c r="B6307">
        <v>4082</v>
      </c>
      <c r="C6307" t="s">
        <v>760</v>
      </c>
      <c r="D6307" t="s">
        <v>6168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12001</v>
      </c>
      <c r="B6309">
        <v>43487</v>
      </c>
      <c r="C6309" t="s">
        <v>12002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12003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12004</v>
      </c>
      <c r="B6315">
        <v>9774</v>
      </c>
      <c r="C6315" t="s">
        <v>12005</v>
      </c>
      <c r="D6315" t="s">
        <v>6168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12006</v>
      </c>
      <c r="B6317">
        <v>29564</v>
      </c>
      <c r="C6317" t="s">
        <v>12007</v>
      </c>
      <c r="D6317" t="s">
        <v>6168</v>
      </c>
    </row>
    <row r="6318" spans="1:4">
      <c r="A6318" t="s">
        <v>12008</v>
      </c>
      <c r="B6318">
        <v>42197</v>
      </c>
      <c r="C6318" t="s">
        <v>12009</v>
      </c>
      <c r="D6318" t="s">
        <v>6605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12010</v>
      </c>
      <c r="B6320">
        <v>23788</v>
      </c>
      <c r="C6320" t="s">
        <v>2425</v>
      </c>
      <c r="D6320" t="s">
        <v>6168</v>
      </c>
    </row>
    <row r="6321" spans="1:4">
      <c r="A6321" t="s">
        <v>12011</v>
      </c>
      <c r="B6321">
        <v>31372</v>
      </c>
      <c r="C6321" t="s">
        <v>6924</v>
      </c>
      <c r="D6321" t="s">
        <v>6168</v>
      </c>
    </row>
    <row r="6322" spans="1:4">
      <c r="A6322" t="s">
        <v>12012</v>
      </c>
      <c r="B6322">
        <v>42198</v>
      </c>
      <c r="C6322" t="s">
        <v>2425</v>
      </c>
      <c r="D6322" t="s">
        <v>6168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12013</v>
      </c>
      <c r="B6324">
        <v>40879</v>
      </c>
      <c r="C6324" t="s">
        <v>6879</v>
      </c>
      <c r="D6324" t="s">
        <v>6168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12014</v>
      </c>
      <c r="B6326">
        <v>22253</v>
      </c>
      <c r="C6326" t="s">
        <v>467</v>
      </c>
      <c r="D6326" t="s">
        <v>6267</v>
      </c>
    </row>
    <row r="6327" spans="1:4">
      <c r="A6327" t="s">
        <v>12015</v>
      </c>
      <c r="B6327">
        <v>22254</v>
      </c>
      <c r="C6327" t="s">
        <v>624</v>
      </c>
      <c r="D6327" t="s">
        <v>6305</v>
      </c>
    </row>
    <row r="6328" spans="1:4">
      <c r="A6328" t="s">
        <v>12016</v>
      </c>
      <c r="B6328">
        <v>22255</v>
      </c>
      <c r="C6328" t="s">
        <v>624</v>
      </c>
      <c r="D6328" t="s">
        <v>6314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12017</v>
      </c>
      <c r="B6330">
        <v>4483</v>
      </c>
      <c r="C6330" t="s">
        <v>12018</v>
      </c>
      <c r="D6330" t="s">
        <v>6168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12019</v>
      </c>
      <c r="B6333">
        <v>25416</v>
      </c>
      <c r="C6333" t="s">
        <v>12020</v>
      </c>
      <c r="D6333" t="s">
        <v>6168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12021</v>
      </c>
      <c r="B6336">
        <v>22257</v>
      </c>
      <c r="C6336" t="s">
        <v>12022</v>
      </c>
      <c r="D6336" t="s">
        <v>6168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12023</v>
      </c>
      <c r="B6340">
        <v>25494</v>
      </c>
      <c r="C6340" t="s">
        <v>9366</v>
      </c>
      <c r="D6340" t="s">
        <v>6168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12024</v>
      </c>
      <c r="B6343">
        <v>23789</v>
      </c>
      <c r="C6343" t="s">
        <v>4950</v>
      </c>
      <c r="D6343" t="s">
        <v>6168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12025</v>
      </c>
      <c r="B6345">
        <v>22259</v>
      </c>
      <c r="D6345" t="s">
        <v>6267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17296</v>
      </c>
      <c r="B6347">
        <v>45388</v>
      </c>
      <c r="C6347" t="s">
        <v>17297</v>
      </c>
      <c r="D6347" t="s">
        <v>6168</v>
      </c>
    </row>
    <row r="6348" spans="1:4">
      <c r="A6348" t="s">
        <v>12026</v>
      </c>
      <c r="B6348">
        <v>22261</v>
      </c>
      <c r="C6348" t="s">
        <v>12027</v>
      </c>
      <c r="D6348" t="s">
        <v>6168</v>
      </c>
    </row>
    <row r="6349" spans="1:4">
      <c r="A6349" t="s">
        <v>12028</v>
      </c>
      <c r="B6349">
        <v>22262</v>
      </c>
      <c r="C6349" t="s">
        <v>12029</v>
      </c>
      <c r="D6349" t="s">
        <v>6245</v>
      </c>
    </row>
    <row r="6350" spans="1:4">
      <c r="A6350" t="s">
        <v>12030</v>
      </c>
      <c r="B6350">
        <v>22263</v>
      </c>
      <c r="C6350" t="s">
        <v>8066</v>
      </c>
      <c r="D6350" t="s">
        <v>6314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12031</v>
      </c>
      <c r="B6352">
        <v>23790</v>
      </c>
      <c r="C6352" t="s">
        <v>6219</v>
      </c>
      <c r="D6352" t="s">
        <v>6168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12032</v>
      </c>
      <c r="B6354">
        <v>36217</v>
      </c>
      <c r="C6354" t="s">
        <v>10729</v>
      </c>
      <c r="D6354" t="s">
        <v>6168</v>
      </c>
    </row>
    <row r="6355" spans="1:4">
      <c r="A6355" t="s">
        <v>12033</v>
      </c>
      <c r="B6355">
        <v>34988</v>
      </c>
      <c r="C6355" t="s">
        <v>4209</v>
      </c>
      <c r="D6355" t="s">
        <v>6267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12034</v>
      </c>
      <c r="B6357">
        <v>29603</v>
      </c>
      <c r="C6357" t="s">
        <v>12035</v>
      </c>
      <c r="D6357" t="s">
        <v>6168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12036</v>
      </c>
      <c r="B6359">
        <v>20709</v>
      </c>
      <c r="C6359" t="s">
        <v>12037</v>
      </c>
      <c r="D6359" t="s">
        <v>6245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12038</v>
      </c>
      <c r="B6362">
        <v>19380</v>
      </c>
      <c r="C6362" t="s">
        <v>12039</v>
      </c>
      <c r="D6362" t="s">
        <v>6168</v>
      </c>
    </row>
    <row r="6363" spans="1:4">
      <c r="A6363" t="s">
        <v>12040</v>
      </c>
      <c r="B6363">
        <v>19381</v>
      </c>
      <c r="C6363" t="s">
        <v>12041</v>
      </c>
      <c r="D6363" t="s">
        <v>6168</v>
      </c>
    </row>
    <row r="6364" spans="1:4">
      <c r="A6364" t="s">
        <v>12042</v>
      </c>
      <c r="B6364">
        <v>19382</v>
      </c>
      <c r="C6364" t="s">
        <v>291</v>
      </c>
      <c r="D6364" t="s">
        <v>6168</v>
      </c>
    </row>
    <row r="6365" spans="1:4">
      <c r="A6365" t="s">
        <v>12043</v>
      </c>
      <c r="B6365">
        <v>19383</v>
      </c>
      <c r="C6365" t="s">
        <v>9020</v>
      </c>
      <c r="D6365" t="s">
        <v>6168</v>
      </c>
    </row>
    <row r="6366" spans="1:4">
      <c r="A6366" t="s">
        <v>12044</v>
      </c>
      <c r="B6366">
        <v>19384</v>
      </c>
      <c r="C6366" t="s">
        <v>12045</v>
      </c>
      <c r="D6366" t="s">
        <v>6168</v>
      </c>
    </row>
    <row r="6367" spans="1:4">
      <c r="A6367" t="s">
        <v>12046</v>
      </c>
      <c r="B6367">
        <v>19385</v>
      </c>
      <c r="C6367" t="s">
        <v>6170</v>
      </c>
      <c r="D6367" t="s">
        <v>6168</v>
      </c>
    </row>
    <row r="6368" spans="1:4">
      <c r="A6368" t="s">
        <v>12047</v>
      </c>
      <c r="B6368">
        <v>19386</v>
      </c>
      <c r="C6368" t="s">
        <v>12048</v>
      </c>
      <c r="D6368" t="s">
        <v>6168</v>
      </c>
    </row>
    <row r="6369" spans="1:4">
      <c r="A6369" t="s">
        <v>17298</v>
      </c>
      <c r="B6369">
        <v>45389</v>
      </c>
      <c r="C6369" t="s">
        <v>3150</v>
      </c>
      <c r="D6369" t="s">
        <v>123</v>
      </c>
    </row>
    <row r="6370" spans="1:4">
      <c r="A6370" t="s">
        <v>17400</v>
      </c>
      <c r="B6370">
        <v>45491</v>
      </c>
      <c r="C6370" t="s">
        <v>2924</v>
      </c>
      <c r="D6370" t="s">
        <v>6168</v>
      </c>
    </row>
    <row r="6371" spans="1:4">
      <c r="A6371" t="s">
        <v>12049</v>
      </c>
      <c r="B6371">
        <v>39484</v>
      </c>
      <c r="C6371" t="s">
        <v>2924</v>
      </c>
      <c r="D6371" t="s">
        <v>6267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12050</v>
      </c>
      <c r="B6373">
        <v>20352</v>
      </c>
      <c r="C6373" t="s">
        <v>10694</v>
      </c>
      <c r="D6373" t="s">
        <v>6245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12051</v>
      </c>
      <c r="B6377">
        <v>19341</v>
      </c>
      <c r="D6377" t="s">
        <v>6168</v>
      </c>
    </row>
    <row r="6378" spans="1:4">
      <c r="A6378" t="s">
        <v>12052</v>
      </c>
      <c r="B6378">
        <v>19342</v>
      </c>
      <c r="D6378" t="s">
        <v>6168</v>
      </c>
    </row>
    <row r="6379" spans="1:4">
      <c r="A6379" t="s">
        <v>12053</v>
      </c>
      <c r="B6379">
        <v>19343</v>
      </c>
      <c r="D6379" t="s">
        <v>6168</v>
      </c>
    </row>
    <row r="6380" spans="1:4">
      <c r="A6380" t="s">
        <v>12054</v>
      </c>
      <c r="B6380">
        <v>19344</v>
      </c>
      <c r="D6380" t="s">
        <v>6168</v>
      </c>
    </row>
    <row r="6381" spans="1:4">
      <c r="A6381" t="s">
        <v>12055</v>
      </c>
      <c r="B6381">
        <v>2979</v>
      </c>
      <c r="C6381" t="s">
        <v>12056</v>
      </c>
      <c r="D6381" t="s">
        <v>6168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12057</v>
      </c>
      <c r="B6384">
        <v>30361</v>
      </c>
      <c r="C6384" t="s">
        <v>12058</v>
      </c>
      <c r="D6384" t="s">
        <v>6168</v>
      </c>
    </row>
    <row r="6385" spans="1:4">
      <c r="A6385" t="s">
        <v>12059</v>
      </c>
      <c r="B6385">
        <v>31309</v>
      </c>
      <c r="C6385" t="s">
        <v>12060</v>
      </c>
      <c r="D6385" t="s">
        <v>6168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12061</v>
      </c>
      <c r="B6387">
        <v>25181</v>
      </c>
      <c r="C6387" t="s">
        <v>12062</v>
      </c>
      <c r="D6387" t="s">
        <v>6168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12063</v>
      </c>
      <c r="B6389">
        <v>43489</v>
      </c>
      <c r="C6389" t="s">
        <v>12064</v>
      </c>
      <c r="D6389" t="s">
        <v>6168</v>
      </c>
    </row>
    <row r="6390" spans="1:4">
      <c r="A6390" t="s">
        <v>12065</v>
      </c>
      <c r="B6390">
        <v>30345</v>
      </c>
      <c r="C6390" t="s">
        <v>12066</v>
      </c>
      <c r="D6390" t="s">
        <v>6168</v>
      </c>
    </row>
    <row r="6391" spans="1:4">
      <c r="A6391" t="s">
        <v>12067</v>
      </c>
      <c r="B6391">
        <v>26210</v>
      </c>
      <c r="C6391" t="s">
        <v>12068</v>
      </c>
      <c r="D6391" t="s">
        <v>6168</v>
      </c>
    </row>
    <row r="6392" spans="1:4">
      <c r="A6392" t="s">
        <v>12069</v>
      </c>
      <c r="B6392">
        <v>30344</v>
      </c>
      <c r="C6392" t="s">
        <v>8242</v>
      </c>
      <c r="D6392" t="s">
        <v>6168</v>
      </c>
    </row>
    <row r="6393" spans="1:4">
      <c r="A6393" t="s">
        <v>12070</v>
      </c>
      <c r="B6393">
        <v>24989</v>
      </c>
      <c r="C6393" t="s">
        <v>12071</v>
      </c>
      <c r="D6393" t="s">
        <v>6168</v>
      </c>
    </row>
    <row r="6394" spans="1:4">
      <c r="A6394" t="s">
        <v>12072</v>
      </c>
      <c r="B6394">
        <v>24990</v>
      </c>
      <c r="C6394" t="s">
        <v>12073</v>
      </c>
      <c r="D6394" t="s">
        <v>6168</v>
      </c>
    </row>
    <row r="6395" spans="1:4">
      <c r="A6395" t="s">
        <v>12074</v>
      </c>
      <c r="B6395">
        <v>43010</v>
      </c>
      <c r="C6395" t="s">
        <v>1114</v>
      </c>
      <c r="D6395" t="s">
        <v>6168</v>
      </c>
    </row>
    <row r="6396" spans="1:4">
      <c r="A6396" t="s">
        <v>12075</v>
      </c>
      <c r="B6396">
        <v>24991</v>
      </c>
      <c r="C6396" t="s">
        <v>12076</v>
      </c>
      <c r="D6396" t="s">
        <v>6168</v>
      </c>
    </row>
    <row r="6397" spans="1:4">
      <c r="A6397" t="s">
        <v>12077</v>
      </c>
      <c r="B6397">
        <v>24992</v>
      </c>
      <c r="C6397" t="s">
        <v>2918</v>
      </c>
      <c r="D6397" t="s">
        <v>6168</v>
      </c>
    </row>
    <row r="6398" spans="1:4">
      <c r="A6398" t="s">
        <v>12078</v>
      </c>
      <c r="B6398">
        <v>34033</v>
      </c>
      <c r="C6398" t="s">
        <v>12079</v>
      </c>
      <c r="D6398" t="s">
        <v>6168</v>
      </c>
    </row>
    <row r="6399" spans="1:4">
      <c r="A6399" t="s">
        <v>12080</v>
      </c>
      <c r="B6399">
        <v>24993</v>
      </c>
      <c r="C6399" t="s">
        <v>12081</v>
      </c>
      <c r="D6399" t="s">
        <v>6168</v>
      </c>
    </row>
    <row r="6400" spans="1:4">
      <c r="A6400" t="s">
        <v>12082</v>
      </c>
      <c r="B6400">
        <v>24994</v>
      </c>
      <c r="C6400" t="s">
        <v>12083</v>
      </c>
      <c r="D6400" t="s">
        <v>6168</v>
      </c>
    </row>
    <row r="6401" spans="1:4">
      <c r="A6401" t="s">
        <v>12084</v>
      </c>
      <c r="B6401">
        <v>35215</v>
      </c>
      <c r="C6401" t="s">
        <v>10191</v>
      </c>
      <c r="D6401" t="s">
        <v>6168</v>
      </c>
    </row>
    <row r="6402" spans="1:4">
      <c r="A6402" t="s">
        <v>16871</v>
      </c>
      <c r="B6402">
        <v>43931</v>
      </c>
      <c r="C6402" t="s">
        <v>10191</v>
      </c>
      <c r="D6402" t="s">
        <v>6168</v>
      </c>
    </row>
    <row r="6403" spans="1:4">
      <c r="A6403" t="s">
        <v>12085</v>
      </c>
      <c r="B6403">
        <v>30358</v>
      </c>
      <c r="C6403" t="s">
        <v>12066</v>
      </c>
      <c r="D6403" t="s">
        <v>6168</v>
      </c>
    </row>
    <row r="6404" spans="1:4">
      <c r="A6404" t="s">
        <v>12086</v>
      </c>
      <c r="B6404">
        <v>34034</v>
      </c>
      <c r="C6404" t="s">
        <v>12087</v>
      </c>
      <c r="D6404" t="s">
        <v>6168</v>
      </c>
    </row>
    <row r="6405" spans="1:4">
      <c r="A6405" t="s">
        <v>12088</v>
      </c>
      <c r="B6405">
        <v>24995</v>
      </c>
      <c r="C6405" t="s">
        <v>1359</v>
      </c>
      <c r="D6405" t="s">
        <v>6168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12089</v>
      </c>
      <c r="B6407">
        <v>22265</v>
      </c>
      <c r="C6407" t="s">
        <v>6783</v>
      </c>
      <c r="D6407" t="s">
        <v>6168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12090</v>
      </c>
      <c r="B6409">
        <v>22267</v>
      </c>
      <c r="C6409" t="s">
        <v>7029</v>
      </c>
      <c r="D6409" t="s">
        <v>6168</v>
      </c>
    </row>
    <row r="6410" spans="1:4">
      <c r="A6410" t="s">
        <v>12091</v>
      </c>
      <c r="B6410">
        <v>22268</v>
      </c>
      <c r="C6410" t="s">
        <v>12092</v>
      </c>
      <c r="D6410" t="s">
        <v>6267</v>
      </c>
    </row>
    <row r="6411" spans="1:4">
      <c r="A6411" t="s">
        <v>12093</v>
      </c>
      <c r="B6411">
        <v>22269</v>
      </c>
      <c r="C6411" t="s">
        <v>12094</v>
      </c>
      <c r="D6411" t="s">
        <v>6305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12095</v>
      </c>
      <c r="B6413">
        <v>31310</v>
      </c>
      <c r="C6413" t="s">
        <v>3355</v>
      </c>
      <c r="D6413" t="s">
        <v>6168</v>
      </c>
    </row>
    <row r="6414" spans="1:4">
      <c r="A6414" t="s">
        <v>12096</v>
      </c>
      <c r="B6414">
        <v>4205</v>
      </c>
      <c r="C6414" t="s">
        <v>4950</v>
      </c>
      <c r="D6414" t="s">
        <v>6168</v>
      </c>
    </row>
    <row r="6415" spans="1:4">
      <c r="A6415" t="s">
        <v>12097</v>
      </c>
      <c r="B6415">
        <v>4206</v>
      </c>
      <c r="C6415" t="s">
        <v>9260</v>
      </c>
      <c r="D6415" t="s">
        <v>6168</v>
      </c>
    </row>
    <row r="6416" spans="1:4">
      <c r="A6416" t="s">
        <v>12098</v>
      </c>
      <c r="B6416">
        <v>39728</v>
      </c>
      <c r="C6416" t="s">
        <v>6558</v>
      </c>
      <c r="D6416" t="s">
        <v>6168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12099</v>
      </c>
      <c r="B6418">
        <v>19361</v>
      </c>
      <c r="D6418" t="s">
        <v>6168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12100</v>
      </c>
      <c r="B6420">
        <v>32508</v>
      </c>
      <c r="C6420" t="s">
        <v>384</v>
      </c>
      <c r="D6420" t="s">
        <v>6168</v>
      </c>
    </row>
    <row r="6421" spans="1:4">
      <c r="A6421" t="s">
        <v>12101</v>
      </c>
      <c r="B6421">
        <v>32533</v>
      </c>
      <c r="C6421" t="s">
        <v>12102</v>
      </c>
      <c r="D6421" t="s">
        <v>6168</v>
      </c>
    </row>
    <row r="6422" spans="1:4">
      <c r="A6422" t="s">
        <v>12103</v>
      </c>
      <c r="B6422">
        <v>32509</v>
      </c>
      <c r="C6422" t="s">
        <v>12104</v>
      </c>
      <c r="D6422" t="s">
        <v>6168</v>
      </c>
    </row>
    <row r="6423" spans="1:4">
      <c r="A6423" t="s">
        <v>12105</v>
      </c>
      <c r="B6423">
        <v>1000</v>
      </c>
      <c r="C6423" t="s">
        <v>4950</v>
      </c>
      <c r="D6423" t="s">
        <v>6168</v>
      </c>
    </row>
    <row r="6424" spans="1:4">
      <c r="A6424" t="s">
        <v>12106</v>
      </c>
      <c r="B6424">
        <v>32518</v>
      </c>
      <c r="C6424" t="s">
        <v>6535</v>
      </c>
      <c r="D6424" t="s">
        <v>6168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12107</v>
      </c>
      <c r="B6426">
        <v>43697</v>
      </c>
      <c r="C6426" t="s">
        <v>264</v>
      </c>
      <c r="D6426" t="s">
        <v>6267</v>
      </c>
    </row>
    <row r="6427" spans="1:4">
      <c r="A6427" t="s">
        <v>12108</v>
      </c>
      <c r="B6427">
        <v>41584</v>
      </c>
      <c r="C6427" t="s">
        <v>264</v>
      </c>
      <c r="D6427" t="s">
        <v>6314</v>
      </c>
    </row>
    <row r="6428" spans="1:4">
      <c r="A6428" t="s">
        <v>12109</v>
      </c>
      <c r="B6428">
        <v>39470</v>
      </c>
      <c r="C6428" t="s">
        <v>2939</v>
      </c>
      <c r="D6428" t="s">
        <v>6267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12110</v>
      </c>
      <c r="B6430">
        <v>29237</v>
      </c>
      <c r="C6430" t="s">
        <v>6558</v>
      </c>
      <c r="D6430" t="s">
        <v>6168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12111</v>
      </c>
      <c r="B6433">
        <v>242</v>
      </c>
      <c r="C6433" t="s">
        <v>1587</v>
      </c>
      <c r="D6433" t="s">
        <v>6168</v>
      </c>
    </row>
    <row r="6434" spans="1:4">
      <c r="A6434" t="s">
        <v>12112</v>
      </c>
      <c r="B6434">
        <v>2320</v>
      </c>
      <c r="C6434" t="s">
        <v>12113</v>
      </c>
      <c r="D6434" t="s">
        <v>6168</v>
      </c>
    </row>
    <row r="6435" spans="1:4">
      <c r="A6435" t="s">
        <v>12114</v>
      </c>
      <c r="B6435">
        <v>243</v>
      </c>
      <c r="C6435" t="s">
        <v>6707</v>
      </c>
      <c r="D6435" t="s">
        <v>6168</v>
      </c>
    </row>
    <row r="6436" spans="1:4">
      <c r="A6436" t="s">
        <v>12115</v>
      </c>
      <c r="B6436">
        <v>244</v>
      </c>
      <c r="C6436" t="s">
        <v>16686</v>
      </c>
      <c r="D6436" t="s">
        <v>6168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12116</v>
      </c>
      <c r="B6438">
        <v>30374</v>
      </c>
      <c r="C6438" t="s">
        <v>12117</v>
      </c>
      <c r="D6438" t="s">
        <v>6168</v>
      </c>
    </row>
    <row r="6439" spans="1:4">
      <c r="A6439" t="s">
        <v>12118</v>
      </c>
      <c r="B6439">
        <v>24743</v>
      </c>
      <c r="C6439" t="s">
        <v>12119</v>
      </c>
      <c r="D6439" t="s">
        <v>6168</v>
      </c>
    </row>
    <row r="6440" spans="1:4">
      <c r="A6440" t="s">
        <v>12120</v>
      </c>
      <c r="B6440">
        <v>24744</v>
      </c>
      <c r="C6440" t="s">
        <v>7039</v>
      </c>
      <c r="D6440" t="s">
        <v>6168</v>
      </c>
    </row>
    <row r="6441" spans="1:4">
      <c r="A6441" t="s">
        <v>12121</v>
      </c>
      <c r="B6441">
        <v>24745</v>
      </c>
      <c r="C6441" t="s">
        <v>12122</v>
      </c>
      <c r="D6441" t="s">
        <v>6168</v>
      </c>
    </row>
    <row r="6442" spans="1:4">
      <c r="A6442" t="s">
        <v>12123</v>
      </c>
      <c r="B6442">
        <v>24746</v>
      </c>
      <c r="C6442" t="s">
        <v>10384</v>
      </c>
      <c r="D6442" t="s">
        <v>6168</v>
      </c>
    </row>
    <row r="6443" spans="1:4">
      <c r="A6443" t="s">
        <v>12124</v>
      </c>
      <c r="B6443">
        <v>24747</v>
      </c>
      <c r="C6443" t="s">
        <v>1201</v>
      </c>
      <c r="D6443" t="s">
        <v>6168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12125</v>
      </c>
      <c r="B6446">
        <v>35366</v>
      </c>
      <c r="C6446" t="s">
        <v>12126</v>
      </c>
      <c r="D6446" t="s">
        <v>6168</v>
      </c>
    </row>
    <row r="6447" spans="1:4">
      <c r="A6447" t="s">
        <v>12127</v>
      </c>
      <c r="B6447">
        <v>34035</v>
      </c>
      <c r="C6447" t="s">
        <v>12128</v>
      </c>
      <c r="D6447" t="s">
        <v>6267</v>
      </c>
    </row>
    <row r="6448" spans="1:4">
      <c r="A6448" t="s">
        <v>12129</v>
      </c>
      <c r="B6448">
        <v>23561</v>
      </c>
      <c r="C6448" t="s">
        <v>2781</v>
      </c>
      <c r="D6448" t="s">
        <v>6314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12130</v>
      </c>
      <c r="B6450">
        <v>30604</v>
      </c>
      <c r="C6450" t="s">
        <v>3045</v>
      </c>
      <c r="D6450" t="s">
        <v>6168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12131</v>
      </c>
      <c r="B6452">
        <v>35211</v>
      </c>
      <c r="C6452" t="s">
        <v>4268</v>
      </c>
      <c r="D6452" t="s">
        <v>6168</v>
      </c>
    </row>
    <row r="6453" spans="1:4">
      <c r="A6453" t="s">
        <v>12132</v>
      </c>
      <c r="B6453">
        <v>39691</v>
      </c>
      <c r="C6453" t="s">
        <v>12133</v>
      </c>
      <c r="D6453" t="s">
        <v>6168</v>
      </c>
    </row>
    <row r="6454" spans="1:4">
      <c r="A6454" t="s">
        <v>12134</v>
      </c>
      <c r="B6454">
        <v>29411</v>
      </c>
      <c r="C6454" t="s">
        <v>1109</v>
      </c>
      <c r="D6454" t="s">
        <v>6168</v>
      </c>
    </row>
    <row r="6455" spans="1:4">
      <c r="A6455" t="s">
        <v>12135</v>
      </c>
      <c r="B6455">
        <v>35212</v>
      </c>
      <c r="C6455" t="s">
        <v>8174</v>
      </c>
      <c r="D6455" t="s">
        <v>6168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12136</v>
      </c>
      <c r="B6457">
        <v>42073</v>
      </c>
      <c r="C6457" t="s">
        <v>9798</v>
      </c>
      <c r="D6457" t="s">
        <v>6168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12137</v>
      </c>
      <c r="B6459">
        <v>31461</v>
      </c>
      <c r="C6459" t="s">
        <v>367</v>
      </c>
      <c r="D6459" t="s">
        <v>6168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17071</v>
      </c>
      <c r="B6461">
        <v>44328</v>
      </c>
      <c r="C6461" t="s">
        <v>17072</v>
      </c>
      <c r="D6461" t="s">
        <v>6168</v>
      </c>
    </row>
    <row r="6462" spans="1:4">
      <c r="A6462" t="s">
        <v>12138</v>
      </c>
      <c r="B6462">
        <v>31178</v>
      </c>
      <c r="C6462" t="s">
        <v>11269</v>
      </c>
      <c r="D6462" t="s">
        <v>6168</v>
      </c>
    </row>
    <row r="6463" spans="1:4">
      <c r="A6463" t="s">
        <v>17073</v>
      </c>
      <c r="B6463">
        <v>44329</v>
      </c>
      <c r="C6463" t="s">
        <v>5827</v>
      </c>
      <c r="D6463" t="s">
        <v>123</v>
      </c>
    </row>
    <row r="6464" spans="1:4">
      <c r="A6464" t="s">
        <v>17128</v>
      </c>
      <c r="B6464">
        <v>44386</v>
      </c>
      <c r="C6464" t="s">
        <v>6330</v>
      </c>
      <c r="D6464" t="s">
        <v>6168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12139</v>
      </c>
      <c r="B6466">
        <v>23494</v>
      </c>
      <c r="C6466" t="s">
        <v>4950</v>
      </c>
      <c r="D6466" t="s">
        <v>6168</v>
      </c>
    </row>
    <row r="6467" spans="1:4">
      <c r="A6467" t="s">
        <v>12140</v>
      </c>
      <c r="B6467">
        <v>22272</v>
      </c>
      <c r="C6467" t="s">
        <v>12141</v>
      </c>
      <c r="D6467" t="s">
        <v>6168</v>
      </c>
    </row>
    <row r="6468" spans="1:4">
      <c r="A6468" t="s">
        <v>12142</v>
      </c>
      <c r="B6468">
        <v>40498</v>
      </c>
      <c r="C6468" t="s">
        <v>12143</v>
      </c>
      <c r="D6468" t="s">
        <v>6168</v>
      </c>
    </row>
    <row r="6469" spans="1:4">
      <c r="A6469" t="s">
        <v>12144</v>
      </c>
      <c r="B6469">
        <v>22273</v>
      </c>
      <c r="C6469" t="s">
        <v>7236</v>
      </c>
      <c r="D6469" t="s">
        <v>6168</v>
      </c>
    </row>
    <row r="6470" spans="1:4">
      <c r="A6470" t="s">
        <v>12145</v>
      </c>
      <c r="B6470">
        <v>22274</v>
      </c>
      <c r="C6470" t="s">
        <v>764</v>
      </c>
      <c r="D6470" t="s">
        <v>6168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12146</v>
      </c>
      <c r="B6472">
        <v>42199</v>
      </c>
      <c r="C6472" t="s">
        <v>6851</v>
      </c>
      <c r="D6472" t="s">
        <v>6168</v>
      </c>
    </row>
    <row r="6473" spans="1:4">
      <c r="A6473" t="s">
        <v>12147</v>
      </c>
      <c r="B6473">
        <v>22275</v>
      </c>
      <c r="C6473" t="s">
        <v>12148</v>
      </c>
      <c r="D6473" t="s">
        <v>6267</v>
      </c>
    </row>
    <row r="6474" spans="1:4">
      <c r="A6474" t="s">
        <v>17299</v>
      </c>
      <c r="B6474">
        <v>45390</v>
      </c>
      <c r="C6474" t="s">
        <v>17300</v>
      </c>
      <c r="D6474" t="s">
        <v>123</v>
      </c>
    </row>
    <row r="6475" spans="1:4">
      <c r="A6475" t="s">
        <v>17401</v>
      </c>
      <c r="B6475">
        <v>45492</v>
      </c>
      <c r="C6475" t="s">
        <v>17402</v>
      </c>
      <c r="D6475" t="s">
        <v>6168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12149</v>
      </c>
      <c r="B6477">
        <v>20462</v>
      </c>
      <c r="C6477" t="s">
        <v>12150</v>
      </c>
      <c r="D6477" t="s">
        <v>6168</v>
      </c>
    </row>
    <row r="6478" spans="1:4">
      <c r="A6478" t="s">
        <v>12151</v>
      </c>
      <c r="B6478">
        <v>3291</v>
      </c>
      <c r="C6478" t="s">
        <v>12152</v>
      </c>
      <c r="D6478" t="s">
        <v>6168</v>
      </c>
    </row>
    <row r="6479" spans="1:4">
      <c r="A6479" t="s">
        <v>12153</v>
      </c>
      <c r="B6479">
        <v>20295</v>
      </c>
      <c r="C6479" t="s">
        <v>4950</v>
      </c>
      <c r="D6479" t="s">
        <v>6168</v>
      </c>
    </row>
    <row r="6480" spans="1:4">
      <c r="A6480" t="s">
        <v>12154</v>
      </c>
      <c r="B6480">
        <v>20307</v>
      </c>
      <c r="C6480" t="s">
        <v>12155</v>
      </c>
      <c r="D6480" t="s">
        <v>6168</v>
      </c>
    </row>
    <row r="6481" spans="1:4">
      <c r="A6481" t="s">
        <v>12156</v>
      </c>
      <c r="B6481">
        <v>20304</v>
      </c>
      <c r="C6481" t="s">
        <v>12157</v>
      </c>
      <c r="D6481" t="s">
        <v>6168</v>
      </c>
    </row>
    <row r="6482" spans="1:4">
      <c r="A6482" t="s">
        <v>12158</v>
      </c>
      <c r="B6482">
        <v>20310</v>
      </c>
      <c r="C6482" t="s">
        <v>12159</v>
      </c>
      <c r="D6482" t="s">
        <v>6168</v>
      </c>
    </row>
    <row r="6483" spans="1:4">
      <c r="A6483" t="s">
        <v>12160</v>
      </c>
      <c r="B6483">
        <v>3630</v>
      </c>
      <c r="C6483" t="s">
        <v>11794</v>
      </c>
      <c r="D6483" t="s">
        <v>6168</v>
      </c>
    </row>
    <row r="6484" spans="1:4">
      <c r="A6484" t="s">
        <v>12161</v>
      </c>
      <c r="B6484">
        <v>3293</v>
      </c>
      <c r="C6484" t="s">
        <v>8251</v>
      </c>
      <c r="D6484" t="s">
        <v>6168</v>
      </c>
    </row>
    <row r="6485" spans="1:4">
      <c r="A6485" t="s">
        <v>12162</v>
      </c>
      <c r="B6485">
        <v>3290</v>
      </c>
      <c r="C6485" t="s">
        <v>12163</v>
      </c>
      <c r="D6485" t="s">
        <v>6168</v>
      </c>
    </row>
    <row r="6486" spans="1:4">
      <c r="A6486" t="s">
        <v>12164</v>
      </c>
      <c r="B6486">
        <v>5049</v>
      </c>
      <c r="C6486" t="s">
        <v>12165</v>
      </c>
      <c r="D6486" t="s">
        <v>6168</v>
      </c>
    </row>
    <row r="6487" spans="1:4">
      <c r="A6487" t="s">
        <v>12166</v>
      </c>
      <c r="B6487">
        <v>20463</v>
      </c>
      <c r="C6487" t="s">
        <v>12167</v>
      </c>
      <c r="D6487" t="s">
        <v>6168</v>
      </c>
    </row>
    <row r="6488" spans="1:4">
      <c r="A6488" t="s">
        <v>12168</v>
      </c>
      <c r="B6488">
        <v>3292</v>
      </c>
      <c r="C6488" t="s">
        <v>12169</v>
      </c>
      <c r="D6488" t="s">
        <v>6168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12170</v>
      </c>
      <c r="B6490">
        <v>22277</v>
      </c>
      <c r="C6490" t="s">
        <v>4950</v>
      </c>
      <c r="D6490" t="s">
        <v>6168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12171</v>
      </c>
      <c r="B6492">
        <v>29712</v>
      </c>
      <c r="C6492" t="s">
        <v>6554</v>
      </c>
      <c r="D6492" t="s">
        <v>6168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12172</v>
      </c>
      <c r="B6494">
        <v>24748</v>
      </c>
      <c r="C6494" t="s">
        <v>9819</v>
      </c>
      <c r="D6494" t="s">
        <v>6168</v>
      </c>
    </row>
    <row r="6495" spans="1:4">
      <c r="A6495" t="s">
        <v>12173</v>
      </c>
      <c r="B6495">
        <v>30577</v>
      </c>
      <c r="C6495" t="s">
        <v>3548</v>
      </c>
      <c r="D6495" t="s">
        <v>6230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12174</v>
      </c>
      <c r="B6497">
        <v>3790</v>
      </c>
      <c r="C6497" t="s">
        <v>8193</v>
      </c>
      <c r="D6497" t="s">
        <v>6168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12175</v>
      </c>
      <c r="B6499">
        <v>695</v>
      </c>
      <c r="C6499" t="s">
        <v>7449</v>
      </c>
      <c r="D6499" t="s">
        <v>6168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12176</v>
      </c>
      <c r="B6502">
        <v>23068</v>
      </c>
      <c r="C6502" t="s">
        <v>672</v>
      </c>
      <c r="D6502" t="s">
        <v>6267</v>
      </c>
    </row>
    <row r="6503" spans="1:4">
      <c r="A6503" t="s">
        <v>12177</v>
      </c>
      <c r="B6503">
        <v>23069</v>
      </c>
      <c r="C6503" t="s">
        <v>672</v>
      </c>
      <c r="D6503" t="s">
        <v>6305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12178</v>
      </c>
      <c r="B6505">
        <v>627</v>
      </c>
      <c r="C6505" t="s">
        <v>12179</v>
      </c>
      <c r="D6505" t="s">
        <v>6168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12180</v>
      </c>
      <c r="B6508">
        <v>43493</v>
      </c>
      <c r="C6508" t="s">
        <v>6330</v>
      </c>
      <c r="D6508" t="s">
        <v>6168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12181</v>
      </c>
      <c r="B6510">
        <v>40878</v>
      </c>
      <c r="C6510" t="s">
        <v>3073</v>
      </c>
      <c r="D6510" t="s">
        <v>6267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12182</v>
      </c>
      <c r="B6513">
        <v>33962</v>
      </c>
      <c r="C6513" t="s">
        <v>148</v>
      </c>
      <c r="D6513" t="s">
        <v>6168</v>
      </c>
    </row>
    <row r="6514" spans="1:4">
      <c r="A6514" t="s">
        <v>12183</v>
      </c>
      <c r="B6514">
        <v>27278</v>
      </c>
      <c r="C6514" t="s">
        <v>4950</v>
      </c>
      <c r="D6514" t="s">
        <v>6168</v>
      </c>
    </row>
    <row r="6515" spans="1:4">
      <c r="A6515" t="s">
        <v>12184</v>
      </c>
      <c r="B6515">
        <v>27273</v>
      </c>
      <c r="C6515" t="s">
        <v>12185</v>
      </c>
      <c r="D6515" t="s">
        <v>6168</v>
      </c>
    </row>
    <row r="6516" spans="1:4">
      <c r="A6516" t="s">
        <v>12186</v>
      </c>
      <c r="B6516">
        <v>25766</v>
      </c>
      <c r="C6516" t="s">
        <v>6219</v>
      </c>
      <c r="D6516" t="s">
        <v>6168</v>
      </c>
    </row>
    <row r="6517" spans="1:4">
      <c r="A6517" t="s">
        <v>12187</v>
      </c>
      <c r="B6517">
        <v>27275</v>
      </c>
      <c r="C6517" t="s">
        <v>12188</v>
      </c>
      <c r="D6517" t="s">
        <v>6168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12189</v>
      </c>
      <c r="B6519">
        <v>644</v>
      </c>
      <c r="C6519" t="s">
        <v>7778</v>
      </c>
      <c r="D6519" t="s">
        <v>6168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12190</v>
      </c>
      <c r="B6521">
        <v>26198</v>
      </c>
      <c r="C6521" t="s">
        <v>12191</v>
      </c>
      <c r="D6521" t="s">
        <v>6168</v>
      </c>
    </row>
    <row r="6522" spans="1:4">
      <c r="A6522" t="s">
        <v>12192</v>
      </c>
      <c r="B6522">
        <v>25272</v>
      </c>
      <c r="C6522" t="s">
        <v>12193</v>
      </c>
      <c r="D6522" t="s">
        <v>6168</v>
      </c>
    </row>
    <row r="6523" spans="1:4">
      <c r="A6523" t="s">
        <v>12194</v>
      </c>
      <c r="B6523">
        <v>42947</v>
      </c>
      <c r="C6523" t="s">
        <v>9411</v>
      </c>
      <c r="D6523" t="s">
        <v>6168</v>
      </c>
    </row>
    <row r="6524" spans="1:4">
      <c r="A6524" t="s">
        <v>12195</v>
      </c>
      <c r="B6524">
        <v>37796</v>
      </c>
      <c r="C6524" t="s">
        <v>12196</v>
      </c>
      <c r="D6524" t="s">
        <v>6168</v>
      </c>
    </row>
    <row r="6525" spans="1:4">
      <c r="A6525" t="s">
        <v>12197</v>
      </c>
      <c r="B6525">
        <v>25288</v>
      </c>
      <c r="C6525" t="s">
        <v>6533</v>
      </c>
      <c r="D6525" t="s">
        <v>6168</v>
      </c>
    </row>
    <row r="6526" spans="1:4">
      <c r="A6526" t="s">
        <v>12198</v>
      </c>
      <c r="B6526">
        <v>29519</v>
      </c>
      <c r="C6526" t="s">
        <v>148</v>
      </c>
      <c r="D6526" t="s">
        <v>6168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12199</v>
      </c>
      <c r="B6529">
        <v>22278</v>
      </c>
      <c r="C6529" t="s">
        <v>12200</v>
      </c>
      <c r="D6529" t="s">
        <v>6168</v>
      </c>
    </row>
    <row r="6530" spans="1:4">
      <c r="A6530" t="s">
        <v>12201</v>
      </c>
      <c r="B6530">
        <v>20523</v>
      </c>
      <c r="D6530" t="s">
        <v>6168</v>
      </c>
    </row>
    <row r="6531" spans="1:4">
      <c r="A6531" t="s">
        <v>12202</v>
      </c>
      <c r="B6531">
        <v>22279</v>
      </c>
      <c r="C6531" t="s">
        <v>12203</v>
      </c>
      <c r="D6531" t="s">
        <v>6168</v>
      </c>
    </row>
    <row r="6532" spans="1:4">
      <c r="A6532" t="s">
        <v>12204</v>
      </c>
      <c r="B6532">
        <v>22280</v>
      </c>
      <c r="C6532" t="s">
        <v>12205</v>
      </c>
      <c r="D6532" t="s">
        <v>6168</v>
      </c>
    </row>
    <row r="6533" spans="1:4">
      <c r="A6533" t="s">
        <v>12206</v>
      </c>
      <c r="B6533">
        <v>22281</v>
      </c>
      <c r="C6533" t="s">
        <v>12207</v>
      </c>
      <c r="D6533" t="s">
        <v>6168</v>
      </c>
    </row>
    <row r="6534" spans="1:4">
      <c r="A6534" t="s">
        <v>12208</v>
      </c>
      <c r="B6534">
        <v>41946</v>
      </c>
      <c r="C6534" t="s">
        <v>12209</v>
      </c>
      <c r="D6534" t="s">
        <v>6168</v>
      </c>
    </row>
    <row r="6535" spans="1:4">
      <c r="A6535" t="s">
        <v>12210</v>
      </c>
      <c r="B6535">
        <v>22282</v>
      </c>
      <c r="C6535" t="s">
        <v>12211</v>
      </c>
      <c r="D6535" t="s">
        <v>6168</v>
      </c>
    </row>
    <row r="6536" spans="1:4">
      <c r="A6536" t="s">
        <v>12212</v>
      </c>
      <c r="B6536">
        <v>22283</v>
      </c>
      <c r="C6536" t="s">
        <v>12207</v>
      </c>
      <c r="D6536" t="s">
        <v>6168</v>
      </c>
    </row>
    <row r="6537" spans="1:4">
      <c r="A6537" t="s">
        <v>12213</v>
      </c>
      <c r="B6537">
        <v>22284</v>
      </c>
      <c r="C6537" t="s">
        <v>12214</v>
      </c>
      <c r="D6537" t="s">
        <v>6168</v>
      </c>
    </row>
    <row r="6538" spans="1:4">
      <c r="A6538" t="s">
        <v>12215</v>
      </c>
      <c r="B6538">
        <v>22285</v>
      </c>
      <c r="C6538" t="s">
        <v>12207</v>
      </c>
      <c r="D6538" t="s">
        <v>6168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12216</v>
      </c>
      <c r="B6540">
        <v>20714</v>
      </c>
      <c r="D6540" t="s">
        <v>6230</v>
      </c>
    </row>
    <row r="6541" spans="1:4">
      <c r="A6541" t="s">
        <v>12217</v>
      </c>
      <c r="B6541">
        <v>29157</v>
      </c>
      <c r="C6541" t="s">
        <v>12218</v>
      </c>
      <c r="D6541" t="s">
        <v>6230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12219</v>
      </c>
      <c r="B6543">
        <v>25776</v>
      </c>
      <c r="C6543" t="s">
        <v>7008</v>
      </c>
      <c r="D6543" t="s">
        <v>6168</v>
      </c>
    </row>
    <row r="6544" spans="1:4">
      <c r="A6544" t="s">
        <v>12220</v>
      </c>
      <c r="B6544">
        <v>4208</v>
      </c>
      <c r="C6544" t="s">
        <v>4950</v>
      </c>
      <c r="D6544" t="s">
        <v>6168</v>
      </c>
    </row>
    <row r="6545" spans="1:4">
      <c r="A6545" t="s">
        <v>12221</v>
      </c>
      <c r="B6545">
        <v>4209</v>
      </c>
      <c r="C6545" t="s">
        <v>12222</v>
      </c>
      <c r="D6545" t="s">
        <v>6168</v>
      </c>
    </row>
    <row r="6546" spans="1:4">
      <c r="A6546" t="s">
        <v>12223</v>
      </c>
      <c r="B6546">
        <v>42779</v>
      </c>
      <c r="C6546" t="s">
        <v>12224</v>
      </c>
      <c r="D6546" t="s">
        <v>6168</v>
      </c>
    </row>
    <row r="6547" spans="1:4">
      <c r="A6547" t="s">
        <v>12225</v>
      </c>
      <c r="B6547">
        <v>23485</v>
      </c>
      <c r="C6547" t="s">
        <v>4950</v>
      </c>
      <c r="D6547" t="s">
        <v>6168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12226</v>
      </c>
      <c r="B6549">
        <v>22287</v>
      </c>
      <c r="C6549" t="s">
        <v>12227</v>
      </c>
      <c r="D6549" t="s">
        <v>6168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12228</v>
      </c>
      <c r="B6551">
        <v>22288</v>
      </c>
      <c r="D6551" t="s">
        <v>6267</v>
      </c>
    </row>
    <row r="6552" spans="1:4">
      <c r="A6552" t="s">
        <v>12229</v>
      </c>
      <c r="B6552">
        <v>22289</v>
      </c>
      <c r="C6552" t="s">
        <v>2310</v>
      </c>
      <c r="D6552" t="s">
        <v>6314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12230</v>
      </c>
      <c r="B6554">
        <v>22291</v>
      </c>
      <c r="C6554" t="s">
        <v>6558</v>
      </c>
      <c r="D6554" t="s">
        <v>6168</v>
      </c>
    </row>
    <row r="6555" spans="1:4">
      <c r="A6555" t="s">
        <v>17457</v>
      </c>
      <c r="B6555">
        <v>45747</v>
      </c>
      <c r="C6555" t="s">
        <v>5837</v>
      </c>
      <c r="D6555" t="s">
        <v>123</v>
      </c>
    </row>
    <row r="6556" spans="1:4">
      <c r="A6556" t="s">
        <v>17523</v>
      </c>
      <c r="B6556">
        <v>45943</v>
      </c>
      <c r="C6556" t="s">
        <v>17524</v>
      </c>
      <c r="D6556" t="s">
        <v>6168</v>
      </c>
    </row>
    <row r="6557" spans="1:4">
      <c r="A6557" t="s">
        <v>17525</v>
      </c>
      <c r="B6557">
        <v>45944</v>
      </c>
      <c r="C6557" t="s">
        <v>17526</v>
      </c>
      <c r="D6557" t="s">
        <v>6168</v>
      </c>
    </row>
    <row r="6558" spans="1:4">
      <c r="A6558" t="s">
        <v>17527</v>
      </c>
      <c r="B6558">
        <v>45945</v>
      </c>
      <c r="C6558" t="s">
        <v>17528</v>
      </c>
      <c r="D6558" t="s">
        <v>6168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12231</v>
      </c>
      <c r="B6561">
        <v>24206</v>
      </c>
      <c r="C6561" t="s">
        <v>6190</v>
      </c>
      <c r="D6561" t="s">
        <v>6168</v>
      </c>
    </row>
    <row r="6562" spans="1:4">
      <c r="A6562" t="s">
        <v>12232</v>
      </c>
      <c r="B6562">
        <v>30347</v>
      </c>
      <c r="C6562" t="s">
        <v>12233</v>
      </c>
      <c r="D6562" t="s">
        <v>6168</v>
      </c>
    </row>
    <row r="6563" spans="1:4">
      <c r="A6563" t="s">
        <v>12234</v>
      </c>
      <c r="B6563">
        <v>24207</v>
      </c>
      <c r="C6563" t="s">
        <v>12235</v>
      </c>
      <c r="D6563" t="s">
        <v>6168</v>
      </c>
    </row>
    <row r="6564" spans="1:4">
      <c r="A6564" t="s">
        <v>12236</v>
      </c>
      <c r="B6564">
        <v>30350</v>
      </c>
      <c r="C6564" t="s">
        <v>6645</v>
      </c>
      <c r="D6564" t="s">
        <v>6168</v>
      </c>
    </row>
    <row r="6565" spans="1:4">
      <c r="A6565" t="s">
        <v>12237</v>
      </c>
      <c r="B6565">
        <v>24365</v>
      </c>
      <c r="C6565" t="s">
        <v>7039</v>
      </c>
      <c r="D6565" t="s">
        <v>6168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12238</v>
      </c>
      <c r="B6567">
        <v>24750</v>
      </c>
      <c r="C6567" t="s">
        <v>6853</v>
      </c>
      <c r="D6567" t="s">
        <v>6168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12239</v>
      </c>
      <c r="B6570">
        <v>43629</v>
      </c>
      <c r="C6570" t="s">
        <v>8770</v>
      </c>
      <c r="D6570" t="s">
        <v>6168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12240</v>
      </c>
      <c r="B6572">
        <v>22964</v>
      </c>
      <c r="C6572" t="s">
        <v>12241</v>
      </c>
      <c r="D6572" t="s">
        <v>6168</v>
      </c>
    </row>
    <row r="6573" spans="1:4">
      <c r="A6573" t="s">
        <v>12242</v>
      </c>
      <c r="B6573">
        <v>24751</v>
      </c>
      <c r="C6573" t="s">
        <v>2902</v>
      </c>
      <c r="D6573" t="s">
        <v>6168</v>
      </c>
    </row>
    <row r="6574" spans="1:4">
      <c r="A6574" t="s">
        <v>12243</v>
      </c>
      <c r="B6574">
        <v>42780</v>
      </c>
      <c r="C6574" t="s">
        <v>7169</v>
      </c>
      <c r="D6574" t="s">
        <v>6168</v>
      </c>
    </row>
    <row r="6575" spans="1:4">
      <c r="A6575" t="s">
        <v>12244</v>
      </c>
      <c r="B6575">
        <v>29245</v>
      </c>
      <c r="C6575" t="s">
        <v>2821</v>
      </c>
      <c r="D6575" t="s">
        <v>6168</v>
      </c>
    </row>
    <row r="6576" spans="1:4">
      <c r="A6576" t="s">
        <v>12245</v>
      </c>
      <c r="B6576">
        <v>40496</v>
      </c>
      <c r="C6576" t="s">
        <v>12246</v>
      </c>
      <c r="D6576" t="s">
        <v>6168</v>
      </c>
    </row>
    <row r="6577" spans="1:4">
      <c r="A6577" t="s">
        <v>12247</v>
      </c>
      <c r="B6577">
        <v>35216</v>
      </c>
      <c r="C6577" t="s">
        <v>12248</v>
      </c>
      <c r="D6577" t="s">
        <v>6168</v>
      </c>
    </row>
    <row r="6578" spans="1:4">
      <c r="A6578" t="s">
        <v>12249</v>
      </c>
      <c r="B6578">
        <v>22965</v>
      </c>
      <c r="C6578" t="s">
        <v>12250</v>
      </c>
      <c r="D6578" t="s">
        <v>6168</v>
      </c>
    </row>
    <row r="6579" spans="1:4">
      <c r="A6579" t="s">
        <v>12251</v>
      </c>
      <c r="B6579">
        <v>22966</v>
      </c>
      <c r="C6579" t="s">
        <v>12252</v>
      </c>
      <c r="D6579" t="s">
        <v>6168</v>
      </c>
    </row>
    <row r="6580" spans="1:4">
      <c r="A6580" t="s">
        <v>12253</v>
      </c>
      <c r="B6580">
        <v>40495</v>
      </c>
      <c r="C6580" t="s">
        <v>12254</v>
      </c>
      <c r="D6580" t="s">
        <v>6168</v>
      </c>
    </row>
    <row r="6581" spans="1:4">
      <c r="A6581" t="s">
        <v>12255</v>
      </c>
      <c r="B6581">
        <v>29293</v>
      </c>
      <c r="C6581" t="s">
        <v>9810</v>
      </c>
      <c r="D6581" t="s">
        <v>6168</v>
      </c>
    </row>
    <row r="6582" spans="1:4">
      <c r="A6582" t="s">
        <v>12256</v>
      </c>
      <c r="B6582">
        <v>22967</v>
      </c>
      <c r="C6582" t="s">
        <v>12257</v>
      </c>
      <c r="D6582" t="s">
        <v>6168</v>
      </c>
    </row>
    <row r="6583" spans="1:4">
      <c r="A6583" t="s">
        <v>12258</v>
      </c>
      <c r="B6583">
        <v>4243</v>
      </c>
      <c r="C6583" t="s">
        <v>2379</v>
      </c>
      <c r="D6583" t="s">
        <v>6168</v>
      </c>
    </row>
    <row r="6584" spans="1:4">
      <c r="A6584" t="s">
        <v>12259</v>
      </c>
      <c r="B6584">
        <v>22968</v>
      </c>
      <c r="C6584" t="s">
        <v>12260</v>
      </c>
      <c r="D6584" t="s">
        <v>6168</v>
      </c>
    </row>
    <row r="6585" spans="1:4">
      <c r="A6585" t="s">
        <v>12261</v>
      </c>
      <c r="B6585">
        <v>22969</v>
      </c>
      <c r="C6585" t="s">
        <v>12262</v>
      </c>
      <c r="D6585" t="s">
        <v>6168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12263</v>
      </c>
      <c r="B6588">
        <v>25182</v>
      </c>
      <c r="C6588" t="s">
        <v>12264</v>
      </c>
      <c r="D6588" t="s">
        <v>6168</v>
      </c>
    </row>
    <row r="6589" spans="1:4">
      <c r="A6589" t="s">
        <v>12265</v>
      </c>
      <c r="B6589">
        <v>4005</v>
      </c>
      <c r="C6589" t="s">
        <v>12266</v>
      </c>
      <c r="D6589" t="s">
        <v>6168</v>
      </c>
    </row>
    <row r="6590" spans="1:4">
      <c r="A6590" t="s">
        <v>12267</v>
      </c>
      <c r="B6590">
        <v>4004</v>
      </c>
      <c r="C6590" t="s">
        <v>12268</v>
      </c>
      <c r="D6590" t="s">
        <v>6168</v>
      </c>
    </row>
    <row r="6591" spans="1:4">
      <c r="A6591" t="s">
        <v>12269</v>
      </c>
      <c r="B6591">
        <v>31155</v>
      </c>
      <c r="C6591" t="s">
        <v>12270</v>
      </c>
      <c r="D6591" t="s">
        <v>6168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12271</v>
      </c>
      <c r="B6593">
        <v>39601</v>
      </c>
      <c r="C6593" t="s">
        <v>630</v>
      </c>
      <c r="D6593" t="s">
        <v>6267</v>
      </c>
    </row>
    <row r="6594" spans="1:4">
      <c r="A6594" t="s">
        <v>12272</v>
      </c>
      <c r="B6594">
        <v>24752</v>
      </c>
      <c r="C6594" t="s">
        <v>12273</v>
      </c>
      <c r="D6594" t="s">
        <v>6314</v>
      </c>
    </row>
    <row r="6595" spans="1:4">
      <c r="A6595" t="s">
        <v>12274</v>
      </c>
      <c r="B6595">
        <v>43494</v>
      </c>
      <c r="C6595" t="s">
        <v>4290</v>
      </c>
      <c r="D6595" t="s">
        <v>123</v>
      </c>
    </row>
    <row r="6596" spans="1:4">
      <c r="A6596" t="s">
        <v>16872</v>
      </c>
      <c r="B6596">
        <v>43932</v>
      </c>
      <c r="D6596" t="s">
        <v>6248</v>
      </c>
    </row>
    <row r="6597" spans="1:4">
      <c r="A6597" t="s">
        <v>16948</v>
      </c>
      <c r="B6597">
        <v>44015</v>
      </c>
      <c r="C6597" t="s">
        <v>16949</v>
      </c>
      <c r="D6597" t="s">
        <v>6168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12275</v>
      </c>
      <c r="B6599">
        <v>23795</v>
      </c>
      <c r="C6599" t="s">
        <v>6985</v>
      </c>
      <c r="D6599" t="s">
        <v>6168</v>
      </c>
    </row>
    <row r="6600" spans="1:4">
      <c r="A6600" t="s">
        <v>12276</v>
      </c>
      <c r="B6600">
        <v>23796</v>
      </c>
      <c r="C6600" t="s">
        <v>9010</v>
      </c>
      <c r="D6600" t="s">
        <v>6168</v>
      </c>
    </row>
    <row r="6601" spans="1:4">
      <c r="A6601" t="s">
        <v>12277</v>
      </c>
      <c r="B6601">
        <v>39702</v>
      </c>
      <c r="C6601" t="s">
        <v>3132</v>
      </c>
      <c r="D6601" t="s">
        <v>6168</v>
      </c>
    </row>
    <row r="6602" spans="1:4">
      <c r="A6602" t="s">
        <v>12278</v>
      </c>
      <c r="B6602">
        <v>23797</v>
      </c>
      <c r="C6602" t="s">
        <v>3132</v>
      </c>
      <c r="D6602" t="s">
        <v>6168</v>
      </c>
    </row>
    <row r="6603" spans="1:4">
      <c r="A6603" t="s">
        <v>12279</v>
      </c>
      <c r="B6603">
        <v>24749</v>
      </c>
      <c r="C6603" t="s">
        <v>7049</v>
      </c>
      <c r="D6603" t="s">
        <v>6168</v>
      </c>
    </row>
    <row r="6604" spans="1:4">
      <c r="A6604" t="s">
        <v>12280</v>
      </c>
      <c r="B6604">
        <v>29190</v>
      </c>
      <c r="C6604" t="s">
        <v>6491</v>
      </c>
      <c r="D6604" t="s">
        <v>6168</v>
      </c>
    </row>
    <row r="6605" spans="1:4">
      <c r="A6605" t="s">
        <v>12281</v>
      </c>
      <c r="B6605">
        <v>35650</v>
      </c>
      <c r="C6605" t="s">
        <v>6491</v>
      </c>
      <c r="D6605" t="s">
        <v>6168</v>
      </c>
    </row>
    <row r="6606" spans="1:4">
      <c r="A6606" t="s">
        <v>12282</v>
      </c>
      <c r="B6606">
        <v>23798</v>
      </c>
      <c r="C6606" t="s">
        <v>3132</v>
      </c>
      <c r="D6606" t="s">
        <v>6168</v>
      </c>
    </row>
    <row r="6607" spans="1:4">
      <c r="A6607" t="s">
        <v>12283</v>
      </c>
      <c r="B6607">
        <v>23799</v>
      </c>
      <c r="C6607" t="s">
        <v>3569</v>
      </c>
      <c r="D6607" t="s">
        <v>6230</v>
      </c>
    </row>
    <row r="6608" spans="1:4">
      <c r="A6608" t="s">
        <v>12284</v>
      </c>
      <c r="B6608">
        <v>3270</v>
      </c>
      <c r="C6608" t="s">
        <v>444</v>
      </c>
      <c r="D6608" t="s">
        <v>6605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12285</v>
      </c>
      <c r="B6610">
        <v>24753</v>
      </c>
      <c r="C6610" t="s">
        <v>2396</v>
      </c>
      <c r="D6610" t="s">
        <v>6168</v>
      </c>
    </row>
    <row r="6611" spans="1:4">
      <c r="A6611" t="s">
        <v>12286</v>
      </c>
      <c r="B6611">
        <v>26197</v>
      </c>
      <c r="C6611" t="s">
        <v>1381</v>
      </c>
      <c r="D6611" t="s">
        <v>6168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12287</v>
      </c>
      <c r="B6613">
        <v>30603</v>
      </c>
      <c r="C6613" t="s">
        <v>7169</v>
      </c>
      <c r="D6613" t="s">
        <v>6168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12288</v>
      </c>
      <c r="B6615">
        <v>39485</v>
      </c>
      <c r="C6615" t="s">
        <v>2924</v>
      </c>
      <c r="D6615" t="s">
        <v>6267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12289</v>
      </c>
      <c r="B6617">
        <v>30353</v>
      </c>
      <c r="C6617" t="s">
        <v>9878</v>
      </c>
      <c r="D6617" t="s">
        <v>6168</v>
      </c>
    </row>
    <row r="6618" spans="1:4">
      <c r="A6618" t="s">
        <v>12290</v>
      </c>
      <c r="B6618">
        <v>42076</v>
      </c>
      <c r="C6618" t="s">
        <v>12291</v>
      </c>
      <c r="D6618" t="s">
        <v>6168</v>
      </c>
    </row>
    <row r="6619" spans="1:4">
      <c r="A6619" t="s">
        <v>12292</v>
      </c>
      <c r="B6619">
        <v>42201</v>
      </c>
      <c r="C6619" t="s">
        <v>5771</v>
      </c>
      <c r="D6619" t="s">
        <v>6168</v>
      </c>
    </row>
    <row r="6620" spans="1:4">
      <c r="A6620" t="s">
        <v>12293</v>
      </c>
      <c r="B6620">
        <v>42077</v>
      </c>
      <c r="C6620" t="s">
        <v>12294</v>
      </c>
      <c r="D6620" t="s">
        <v>6168</v>
      </c>
    </row>
    <row r="6621" spans="1:4">
      <c r="A6621" t="s">
        <v>12295</v>
      </c>
      <c r="B6621">
        <v>43115</v>
      </c>
      <c r="C6621" t="s">
        <v>12294</v>
      </c>
      <c r="D6621" t="s">
        <v>6168</v>
      </c>
    </row>
    <row r="6622" spans="1:4">
      <c r="A6622" t="s">
        <v>12296</v>
      </c>
      <c r="B6622">
        <v>42078</v>
      </c>
      <c r="C6622" t="s">
        <v>9179</v>
      </c>
      <c r="D6622" t="s">
        <v>6168</v>
      </c>
    </row>
    <row r="6623" spans="1:4">
      <c r="A6623" t="s">
        <v>12297</v>
      </c>
      <c r="B6623">
        <v>40494</v>
      </c>
      <c r="C6623" t="s">
        <v>12298</v>
      </c>
      <c r="D6623" t="s">
        <v>6168</v>
      </c>
    </row>
    <row r="6624" spans="1:4">
      <c r="A6624" t="s">
        <v>12299</v>
      </c>
      <c r="B6624">
        <v>27414</v>
      </c>
      <c r="C6624" t="s">
        <v>10721</v>
      </c>
      <c r="D6624" t="s">
        <v>6168</v>
      </c>
    </row>
    <row r="6625" spans="1:4">
      <c r="A6625" t="s">
        <v>12300</v>
      </c>
      <c r="B6625">
        <v>42202</v>
      </c>
      <c r="C6625" t="s">
        <v>10098</v>
      </c>
      <c r="D6625" t="s">
        <v>6168</v>
      </c>
    </row>
    <row r="6626" spans="1:4">
      <c r="A6626" t="s">
        <v>12301</v>
      </c>
      <c r="B6626">
        <v>43495</v>
      </c>
      <c r="C6626" t="s">
        <v>12302</v>
      </c>
      <c r="D6626" t="s">
        <v>6168</v>
      </c>
    </row>
    <row r="6627" spans="1:4">
      <c r="A6627" t="s">
        <v>17301</v>
      </c>
      <c r="B6627">
        <v>45391</v>
      </c>
      <c r="C6627" t="s">
        <v>17302</v>
      </c>
      <c r="D6627" t="s">
        <v>6168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12303</v>
      </c>
      <c r="B6629">
        <v>30352</v>
      </c>
      <c r="C6629" t="s">
        <v>10098</v>
      </c>
      <c r="D6629" t="s">
        <v>6168</v>
      </c>
    </row>
    <row r="6630" spans="1:4">
      <c r="A6630" t="s">
        <v>12304</v>
      </c>
      <c r="B6630">
        <v>23430</v>
      </c>
      <c r="C6630" t="s">
        <v>12305</v>
      </c>
      <c r="D6630" t="s">
        <v>6168</v>
      </c>
    </row>
    <row r="6631" spans="1:4">
      <c r="A6631" t="s">
        <v>12306</v>
      </c>
      <c r="B6631">
        <v>26194</v>
      </c>
      <c r="C6631" t="s">
        <v>10098</v>
      </c>
      <c r="D6631" t="s">
        <v>6168</v>
      </c>
    </row>
    <row r="6632" spans="1:4">
      <c r="A6632" t="s">
        <v>12307</v>
      </c>
      <c r="B6632">
        <v>26193</v>
      </c>
      <c r="C6632" t="s">
        <v>12308</v>
      </c>
      <c r="D6632" t="s">
        <v>6168</v>
      </c>
    </row>
    <row r="6633" spans="1:4">
      <c r="A6633" t="s">
        <v>12309</v>
      </c>
      <c r="B6633">
        <v>23431</v>
      </c>
      <c r="C6633" t="s">
        <v>12310</v>
      </c>
      <c r="D6633" t="s">
        <v>6168</v>
      </c>
    </row>
    <row r="6634" spans="1:4">
      <c r="A6634" t="s">
        <v>12311</v>
      </c>
      <c r="B6634">
        <v>31367</v>
      </c>
      <c r="C6634" t="s">
        <v>12312</v>
      </c>
      <c r="D6634" t="s">
        <v>6168</v>
      </c>
    </row>
    <row r="6635" spans="1:4">
      <c r="A6635" t="s">
        <v>12313</v>
      </c>
      <c r="B6635">
        <v>23432</v>
      </c>
      <c r="C6635" t="s">
        <v>9179</v>
      </c>
      <c r="D6635" t="s">
        <v>6168</v>
      </c>
    </row>
    <row r="6636" spans="1:4">
      <c r="A6636" t="s">
        <v>12314</v>
      </c>
      <c r="B6636">
        <v>23433</v>
      </c>
      <c r="C6636" t="s">
        <v>12315</v>
      </c>
      <c r="D6636" t="s">
        <v>6168</v>
      </c>
    </row>
    <row r="6637" spans="1:4">
      <c r="A6637" t="s">
        <v>12316</v>
      </c>
      <c r="B6637">
        <v>23434</v>
      </c>
      <c r="C6637" t="s">
        <v>10098</v>
      </c>
      <c r="D6637" t="s">
        <v>6168</v>
      </c>
    </row>
    <row r="6638" spans="1:4">
      <c r="A6638" t="s">
        <v>12317</v>
      </c>
      <c r="B6638">
        <v>26192</v>
      </c>
      <c r="C6638" t="s">
        <v>12302</v>
      </c>
      <c r="D6638" t="s">
        <v>6168</v>
      </c>
    </row>
    <row r="6639" spans="1:4">
      <c r="A6639" t="s">
        <v>12318</v>
      </c>
      <c r="B6639">
        <v>30376</v>
      </c>
      <c r="C6639" t="s">
        <v>12319</v>
      </c>
      <c r="D6639" t="s">
        <v>6168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12320</v>
      </c>
      <c r="B6641">
        <v>43082</v>
      </c>
      <c r="C6641" t="s">
        <v>6558</v>
      </c>
      <c r="D6641" t="s">
        <v>6168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12321</v>
      </c>
      <c r="B6643">
        <v>22293</v>
      </c>
      <c r="C6643" t="s">
        <v>12322</v>
      </c>
      <c r="D6643" t="s">
        <v>6168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12323</v>
      </c>
      <c r="B6645">
        <v>29778</v>
      </c>
      <c r="C6645" t="s">
        <v>12324</v>
      </c>
      <c r="D6645" t="s">
        <v>6168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12325</v>
      </c>
      <c r="B6647">
        <v>26191</v>
      </c>
      <c r="C6647" t="s">
        <v>6194</v>
      </c>
      <c r="D6647" t="s">
        <v>6168</v>
      </c>
    </row>
    <row r="6648" spans="1:4">
      <c r="A6648" t="s">
        <v>12326</v>
      </c>
      <c r="B6648">
        <v>24755</v>
      </c>
      <c r="C6648" t="s">
        <v>6226</v>
      </c>
      <c r="D6648" t="s">
        <v>6168</v>
      </c>
    </row>
    <row r="6649" spans="1:4">
      <c r="A6649" t="s">
        <v>12327</v>
      </c>
      <c r="B6649">
        <v>30360</v>
      </c>
      <c r="C6649" t="s">
        <v>1143</v>
      </c>
      <c r="D6649" t="s">
        <v>6168</v>
      </c>
    </row>
    <row r="6650" spans="1:4">
      <c r="A6650" t="s">
        <v>12328</v>
      </c>
      <c r="B6650">
        <v>30356</v>
      </c>
      <c r="C6650" t="s">
        <v>12329</v>
      </c>
      <c r="D6650" t="s">
        <v>6168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12330</v>
      </c>
      <c r="B6652">
        <v>22294</v>
      </c>
      <c r="C6652" t="s">
        <v>6811</v>
      </c>
      <c r="D6652" t="s">
        <v>6267</v>
      </c>
    </row>
    <row r="6653" spans="1:4">
      <c r="A6653" t="s">
        <v>17552</v>
      </c>
      <c r="B6653">
        <v>45986</v>
      </c>
      <c r="C6653" t="s">
        <v>1402</v>
      </c>
      <c r="D6653" t="s">
        <v>123</v>
      </c>
    </row>
    <row r="6654" spans="1:4">
      <c r="A6654" t="s">
        <v>17572</v>
      </c>
      <c r="B6654">
        <v>46842</v>
      </c>
      <c r="C6654" t="s">
        <v>4950</v>
      </c>
      <c r="D6654" t="s">
        <v>6168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12331</v>
      </c>
      <c r="B6657">
        <v>29199</v>
      </c>
      <c r="C6657" t="s">
        <v>7839</v>
      </c>
      <c r="D6657" t="s">
        <v>6168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12332</v>
      </c>
      <c r="B6659">
        <v>25418</v>
      </c>
      <c r="C6659" t="s">
        <v>243</v>
      </c>
      <c r="D6659" t="s">
        <v>6168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12333</v>
      </c>
      <c r="B6662">
        <v>3044</v>
      </c>
      <c r="C6662" t="s">
        <v>12334</v>
      </c>
      <c r="D6662" t="s">
        <v>6168</v>
      </c>
    </row>
    <row r="6663" spans="1:4">
      <c r="A6663" t="s">
        <v>12335</v>
      </c>
      <c r="B6663">
        <v>3045</v>
      </c>
      <c r="C6663" t="s">
        <v>6417</v>
      </c>
      <c r="D6663" t="s">
        <v>6168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12336</v>
      </c>
      <c r="B6665">
        <v>22296</v>
      </c>
      <c r="C6665" t="s">
        <v>479</v>
      </c>
      <c r="D6665" t="s">
        <v>6267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12337</v>
      </c>
      <c r="B6667">
        <v>22298</v>
      </c>
      <c r="C6667" t="s">
        <v>12338</v>
      </c>
      <c r="D6667" t="s">
        <v>6168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12339</v>
      </c>
      <c r="B6669">
        <v>22300</v>
      </c>
      <c r="C6669" t="s">
        <v>2369</v>
      </c>
      <c r="D6669" t="s">
        <v>6267</v>
      </c>
    </row>
    <row r="6670" spans="1:4">
      <c r="A6670" t="s">
        <v>12340</v>
      </c>
      <c r="B6670">
        <v>43497</v>
      </c>
      <c r="C6670" t="s">
        <v>8575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12341</v>
      </c>
      <c r="B6673">
        <v>19387</v>
      </c>
      <c r="C6673" t="s">
        <v>12342</v>
      </c>
      <c r="D6673" t="s">
        <v>6168</v>
      </c>
    </row>
    <row r="6674" spans="1:4">
      <c r="A6674" t="s">
        <v>12343</v>
      </c>
      <c r="B6674">
        <v>19388</v>
      </c>
      <c r="C6674" t="s">
        <v>12344</v>
      </c>
      <c r="D6674" t="s">
        <v>6168</v>
      </c>
    </row>
    <row r="6675" spans="1:4">
      <c r="A6675" t="s">
        <v>12345</v>
      </c>
      <c r="B6675">
        <v>19300</v>
      </c>
      <c r="C6675" t="s">
        <v>4487</v>
      </c>
      <c r="D6675" t="s">
        <v>6168</v>
      </c>
    </row>
    <row r="6676" spans="1:4">
      <c r="A6676" t="s">
        <v>12346</v>
      </c>
      <c r="B6676">
        <v>19389</v>
      </c>
      <c r="C6676" t="s">
        <v>12347</v>
      </c>
      <c r="D6676" t="s">
        <v>6168</v>
      </c>
    </row>
    <row r="6677" spans="1:4">
      <c r="A6677" t="s">
        <v>12348</v>
      </c>
      <c r="B6677">
        <v>19390</v>
      </c>
      <c r="C6677" t="s">
        <v>12349</v>
      </c>
      <c r="D6677" t="s">
        <v>6168</v>
      </c>
    </row>
    <row r="6678" spans="1:4">
      <c r="A6678" t="s">
        <v>12350</v>
      </c>
      <c r="B6678">
        <v>19391</v>
      </c>
      <c r="C6678" t="s">
        <v>12351</v>
      </c>
      <c r="D6678" t="s">
        <v>6168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12352</v>
      </c>
      <c r="B6680">
        <v>22302</v>
      </c>
      <c r="C6680" t="s">
        <v>4950</v>
      </c>
      <c r="D6680" t="s">
        <v>6168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12353</v>
      </c>
      <c r="B6682">
        <v>24756</v>
      </c>
      <c r="C6682" t="s">
        <v>12354</v>
      </c>
      <c r="D6682" t="s">
        <v>6168</v>
      </c>
    </row>
    <row r="6683" spans="1:4">
      <c r="A6683" t="s">
        <v>12355</v>
      </c>
      <c r="B6683">
        <v>23802</v>
      </c>
      <c r="C6683" t="s">
        <v>12356</v>
      </c>
      <c r="D6683" t="s">
        <v>6168</v>
      </c>
    </row>
    <row r="6684" spans="1:4">
      <c r="A6684" t="s">
        <v>12357</v>
      </c>
      <c r="B6684">
        <v>40493</v>
      </c>
      <c r="C6684" t="s">
        <v>12358</v>
      </c>
      <c r="D6684" t="s">
        <v>6168</v>
      </c>
    </row>
    <row r="6685" spans="1:4">
      <c r="A6685" t="s">
        <v>12359</v>
      </c>
      <c r="B6685">
        <v>23803</v>
      </c>
      <c r="C6685" t="s">
        <v>1301</v>
      </c>
      <c r="D6685" t="s">
        <v>6168</v>
      </c>
    </row>
    <row r="6686" spans="1:4">
      <c r="A6686" t="s">
        <v>17146</v>
      </c>
      <c r="B6686">
        <v>44447</v>
      </c>
      <c r="C6686" t="s">
        <v>13562</v>
      </c>
      <c r="D6686" t="s">
        <v>6168</v>
      </c>
    </row>
    <row r="6687" spans="1:4">
      <c r="A6687" t="s">
        <v>12360</v>
      </c>
      <c r="B6687">
        <v>40492</v>
      </c>
      <c r="C6687" t="s">
        <v>12361</v>
      </c>
      <c r="D6687" t="s">
        <v>6168</v>
      </c>
    </row>
    <row r="6688" spans="1:4">
      <c r="A6688" t="s">
        <v>12362</v>
      </c>
      <c r="B6688">
        <v>23804</v>
      </c>
      <c r="C6688" t="s">
        <v>10111</v>
      </c>
      <c r="D6688" t="s">
        <v>6168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12363</v>
      </c>
      <c r="B6690">
        <v>29671</v>
      </c>
      <c r="C6690" t="s">
        <v>6194</v>
      </c>
      <c r="D6690" t="s">
        <v>6168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12364</v>
      </c>
      <c r="B6692">
        <v>31791</v>
      </c>
      <c r="C6692" t="s">
        <v>12365</v>
      </c>
      <c r="D6692" t="s">
        <v>6168</v>
      </c>
    </row>
    <row r="6693" spans="1:4">
      <c r="A6693" t="s">
        <v>12366</v>
      </c>
      <c r="B6693">
        <v>19292</v>
      </c>
      <c r="C6693" t="s">
        <v>12367</v>
      </c>
      <c r="D6693" t="s">
        <v>6168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12368</v>
      </c>
      <c r="B6695">
        <v>31803</v>
      </c>
      <c r="C6695" t="s">
        <v>7236</v>
      </c>
      <c r="D6695" t="s">
        <v>6168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12369</v>
      </c>
      <c r="B6698">
        <v>22304</v>
      </c>
      <c r="C6698" t="s">
        <v>4950</v>
      </c>
      <c r="D6698" t="s">
        <v>6168</v>
      </c>
    </row>
    <row r="6699" spans="1:4">
      <c r="A6699" t="s">
        <v>12370</v>
      </c>
      <c r="B6699">
        <v>22305</v>
      </c>
      <c r="C6699" t="s">
        <v>12371</v>
      </c>
      <c r="D6699" t="s">
        <v>6267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12372</v>
      </c>
      <c r="B6701">
        <v>160</v>
      </c>
      <c r="C6701" t="s">
        <v>7589</v>
      </c>
      <c r="D6701" t="s">
        <v>6168</v>
      </c>
    </row>
    <row r="6702" spans="1:4">
      <c r="A6702" t="s">
        <v>12373</v>
      </c>
      <c r="B6702">
        <v>161</v>
      </c>
      <c r="C6702" t="s">
        <v>6817</v>
      </c>
      <c r="D6702" t="s">
        <v>6168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12374</v>
      </c>
      <c r="B6704">
        <v>29216</v>
      </c>
      <c r="C6704" t="s">
        <v>4950</v>
      </c>
      <c r="D6704" t="s">
        <v>6168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12375</v>
      </c>
      <c r="B6707">
        <v>30682</v>
      </c>
      <c r="C6707" t="s">
        <v>2855</v>
      </c>
      <c r="D6707" t="s">
        <v>6168</v>
      </c>
    </row>
    <row r="6708" spans="1:4">
      <c r="A6708" t="s">
        <v>17303</v>
      </c>
      <c r="B6708">
        <v>45392</v>
      </c>
      <c r="C6708" t="s">
        <v>17304</v>
      </c>
      <c r="D6708" t="s">
        <v>134</v>
      </c>
    </row>
    <row r="6709" spans="1:4">
      <c r="A6709" t="s">
        <v>12376</v>
      </c>
      <c r="B6709">
        <v>40875</v>
      </c>
      <c r="C6709" t="s">
        <v>776</v>
      </c>
      <c r="D6709" t="s">
        <v>6314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12377</v>
      </c>
      <c r="B6711">
        <v>43498</v>
      </c>
      <c r="C6711" t="s">
        <v>12378</v>
      </c>
      <c r="D6711" t="s">
        <v>6168</v>
      </c>
    </row>
    <row r="6712" spans="1:4">
      <c r="A6712" t="s">
        <v>12379</v>
      </c>
      <c r="B6712">
        <v>43499</v>
      </c>
      <c r="C6712" t="s">
        <v>4950</v>
      </c>
      <c r="D6712" t="s">
        <v>6168</v>
      </c>
    </row>
    <row r="6713" spans="1:4">
      <c r="A6713" t="s">
        <v>12380</v>
      </c>
      <c r="B6713">
        <v>23124</v>
      </c>
      <c r="C6713" t="s">
        <v>12381</v>
      </c>
      <c r="D6713" t="s">
        <v>6605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12382</v>
      </c>
      <c r="B6715">
        <v>31502</v>
      </c>
      <c r="C6715" t="s">
        <v>12383</v>
      </c>
      <c r="D6715" t="s">
        <v>6168</v>
      </c>
    </row>
    <row r="6716" spans="1:4">
      <c r="A6716" t="s">
        <v>17458</v>
      </c>
      <c r="B6716">
        <v>45748</v>
      </c>
      <c r="C6716" t="s">
        <v>1189</v>
      </c>
      <c r="D6716" t="s">
        <v>123</v>
      </c>
    </row>
    <row r="6717" spans="1:4">
      <c r="A6717" t="s">
        <v>17529</v>
      </c>
      <c r="B6717">
        <v>45947</v>
      </c>
      <c r="C6717" t="s">
        <v>17530</v>
      </c>
      <c r="D6717" t="s">
        <v>6168</v>
      </c>
    </row>
    <row r="6718" spans="1:4">
      <c r="A6718" t="s">
        <v>17531</v>
      </c>
      <c r="B6718">
        <v>45948</v>
      </c>
      <c r="C6718" t="s">
        <v>4950</v>
      </c>
      <c r="D6718" t="s">
        <v>6168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12384</v>
      </c>
      <c r="B6721">
        <v>22307</v>
      </c>
      <c r="C6721" t="s">
        <v>12385</v>
      </c>
      <c r="D6721" t="s">
        <v>6168</v>
      </c>
    </row>
    <row r="6722" spans="1:4">
      <c r="A6722" t="s">
        <v>12386</v>
      </c>
      <c r="B6722">
        <v>22308</v>
      </c>
      <c r="C6722" t="s">
        <v>12387</v>
      </c>
      <c r="D6722" t="s">
        <v>6168</v>
      </c>
    </row>
    <row r="6723" spans="1:4">
      <c r="A6723" t="s">
        <v>12388</v>
      </c>
      <c r="B6723">
        <v>22309</v>
      </c>
      <c r="C6723" t="s">
        <v>432</v>
      </c>
      <c r="D6723" t="s">
        <v>6168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12389</v>
      </c>
      <c r="B6725">
        <v>3719</v>
      </c>
      <c r="C6725" t="s">
        <v>12390</v>
      </c>
      <c r="D6725" t="s">
        <v>6168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12391</v>
      </c>
      <c r="B6728">
        <v>31153</v>
      </c>
      <c r="C6728" t="s">
        <v>7036</v>
      </c>
      <c r="D6728" t="s">
        <v>6168</v>
      </c>
    </row>
    <row r="6729" spans="1:4">
      <c r="A6729" t="s">
        <v>12392</v>
      </c>
      <c r="B6729">
        <v>35745</v>
      </c>
      <c r="C6729" t="s">
        <v>12393</v>
      </c>
      <c r="D6729" t="s">
        <v>6168</v>
      </c>
    </row>
    <row r="6730" spans="1:4">
      <c r="A6730" t="s">
        <v>12394</v>
      </c>
      <c r="B6730">
        <v>30263</v>
      </c>
      <c r="C6730" t="s">
        <v>12395</v>
      </c>
      <c r="D6730" t="s">
        <v>6168</v>
      </c>
    </row>
    <row r="6731" spans="1:4">
      <c r="A6731" t="s">
        <v>12396</v>
      </c>
      <c r="B6731">
        <v>30261</v>
      </c>
      <c r="C6731" t="s">
        <v>7410</v>
      </c>
      <c r="D6731" t="s">
        <v>6168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12397</v>
      </c>
      <c r="B6733">
        <v>40490</v>
      </c>
      <c r="C6733" t="s">
        <v>7169</v>
      </c>
      <c r="D6733" t="s">
        <v>6168</v>
      </c>
    </row>
    <row r="6734" spans="1:4">
      <c r="A6734" t="s">
        <v>12398</v>
      </c>
      <c r="B6734">
        <v>24758</v>
      </c>
      <c r="C6734" t="s">
        <v>12399</v>
      </c>
      <c r="D6734" t="s">
        <v>6168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12400</v>
      </c>
      <c r="B6736">
        <v>43500</v>
      </c>
      <c r="C6736" t="s">
        <v>6219</v>
      </c>
      <c r="D6736" t="s">
        <v>6168</v>
      </c>
    </row>
    <row r="6737" spans="1:4">
      <c r="A6737" t="s">
        <v>12401</v>
      </c>
      <c r="B6737">
        <v>33963</v>
      </c>
      <c r="C6737" t="s">
        <v>12402</v>
      </c>
      <c r="D6737" t="s">
        <v>6168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12403</v>
      </c>
      <c r="B6739">
        <v>22311</v>
      </c>
      <c r="C6739" t="s">
        <v>12404</v>
      </c>
      <c r="D6739" t="s">
        <v>6168</v>
      </c>
    </row>
    <row r="6740" spans="1:4">
      <c r="A6740" t="s">
        <v>12405</v>
      </c>
      <c r="B6740">
        <v>22312</v>
      </c>
      <c r="D6740" t="s">
        <v>6168</v>
      </c>
    </row>
    <row r="6741" spans="1:4">
      <c r="A6741" t="s">
        <v>12406</v>
      </c>
      <c r="B6741">
        <v>22313</v>
      </c>
      <c r="D6741" t="s">
        <v>6168</v>
      </c>
    </row>
    <row r="6742" spans="1:4">
      <c r="A6742" t="s">
        <v>12407</v>
      </c>
      <c r="B6742">
        <v>22314</v>
      </c>
      <c r="D6742" t="s">
        <v>6168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12408</v>
      </c>
      <c r="B6744">
        <v>35242</v>
      </c>
      <c r="C6744" t="s">
        <v>12409</v>
      </c>
      <c r="D6744" t="s">
        <v>6168</v>
      </c>
    </row>
    <row r="6745" spans="1:4">
      <c r="A6745" t="s">
        <v>12410</v>
      </c>
      <c r="B6745">
        <v>35243</v>
      </c>
      <c r="C6745" t="s">
        <v>8989</v>
      </c>
      <c r="D6745" t="s">
        <v>6168</v>
      </c>
    </row>
    <row r="6746" spans="1:4">
      <c r="A6746" t="s">
        <v>12411</v>
      </c>
      <c r="B6746">
        <v>30522</v>
      </c>
      <c r="C6746" t="s">
        <v>9819</v>
      </c>
      <c r="D6746" t="s">
        <v>6168</v>
      </c>
    </row>
    <row r="6747" spans="1:4">
      <c r="A6747" t="s">
        <v>12412</v>
      </c>
      <c r="B6747">
        <v>35244</v>
      </c>
      <c r="C6747" t="s">
        <v>12413</v>
      </c>
      <c r="D6747" t="s">
        <v>6168</v>
      </c>
    </row>
    <row r="6748" spans="1:4">
      <c r="A6748" t="s">
        <v>12414</v>
      </c>
      <c r="B6748">
        <v>23806</v>
      </c>
      <c r="C6748" t="s">
        <v>10111</v>
      </c>
      <c r="D6748" t="s">
        <v>6168</v>
      </c>
    </row>
    <row r="6749" spans="1:4">
      <c r="A6749" t="s">
        <v>12415</v>
      </c>
      <c r="B6749">
        <v>702</v>
      </c>
      <c r="D6749" t="s">
        <v>6245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12416</v>
      </c>
      <c r="B6752">
        <v>24213</v>
      </c>
      <c r="C6752" t="s">
        <v>3250</v>
      </c>
      <c r="D6752" t="s">
        <v>6168</v>
      </c>
    </row>
    <row r="6753" spans="1:4">
      <c r="A6753" t="s">
        <v>12417</v>
      </c>
      <c r="B6753">
        <v>30378</v>
      </c>
      <c r="C6753" t="s">
        <v>12418</v>
      </c>
      <c r="D6753" t="s">
        <v>6168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12419</v>
      </c>
      <c r="B6755">
        <v>30362</v>
      </c>
      <c r="C6755" t="s">
        <v>12420</v>
      </c>
      <c r="D6755" t="s">
        <v>6168</v>
      </c>
    </row>
    <row r="6756" spans="1:4">
      <c r="A6756" t="s">
        <v>12421</v>
      </c>
      <c r="B6756">
        <v>24759</v>
      </c>
      <c r="C6756" t="s">
        <v>2881</v>
      </c>
      <c r="D6756" t="s">
        <v>6168</v>
      </c>
    </row>
    <row r="6757" spans="1:4">
      <c r="A6757" t="s">
        <v>12422</v>
      </c>
      <c r="B6757">
        <v>35080</v>
      </c>
      <c r="C6757" t="s">
        <v>2876</v>
      </c>
      <c r="D6757" t="s">
        <v>6168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12423</v>
      </c>
      <c r="B6759">
        <v>4062</v>
      </c>
      <c r="C6759" t="s">
        <v>11644</v>
      </c>
      <c r="D6759" t="s">
        <v>6168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12424</v>
      </c>
      <c r="B6762">
        <v>41683</v>
      </c>
      <c r="C6762" t="s">
        <v>8484</v>
      </c>
      <c r="D6762" t="s">
        <v>6168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12425</v>
      </c>
      <c r="B6764">
        <v>38287</v>
      </c>
      <c r="C6764" t="s">
        <v>12426</v>
      </c>
      <c r="D6764" t="s">
        <v>6168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12427</v>
      </c>
      <c r="B6767">
        <v>3192</v>
      </c>
      <c r="C6767" t="s">
        <v>12428</v>
      </c>
      <c r="D6767" t="s">
        <v>6168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12429</v>
      </c>
      <c r="B6769">
        <v>42593</v>
      </c>
      <c r="C6769" t="s">
        <v>12430</v>
      </c>
      <c r="D6769" t="s">
        <v>6168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12431</v>
      </c>
      <c r="B6771">
        <v>22317</v>
      </c>
      <c r="C6771" t="s">
        <v>4950</v>
      </c>
      <c r="D6771" t="s">
        <v>6168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12432</v>
      </c>
      <c r="B6773">
        <v>26187</v>
      </c>
      <c r="C6773" t="s">
        <v>6851</v>
      </c>
      <c r="D6773" t="s">
        <v>6168</v>
      </c>
    </row>
    <row r="6774" spans="1:4">
      <c r="A6774" t="s">
        <v>12433</v>
      </c>
      <c r="B6774">
        <v>31810</v>
      </c>
      <c r="C6774" t="s">
        <v>12434</v>
      </c>
      <c r="D6774" t="s">
        <v>6168</v>
      </c>
    </row>
    <row r="6775" spans="1:4">
      <c r="A6775" t="s">
        <v>12435</v>
      </c>
      <c r="B6775">
        <v>24215</v>
      </c>
      <c r="C6775" t="s">
        <v>12436</v>
      </c>
      <c r="D6775" t="s">
        <v>6168</v>
      </c>
    </row>
    <row r="6776" spans="1:4">
      <c r="A6776" t="s">
        <v>12437</v>
      </c>
      <c r="B6776">
        <v>22319</v>
      </c>
      <c r="C6776" t="s">
        <v>12438</v>
      </c>
      <c r="D6776" t="s">
        <v>6168</v>
      </c>
    </row>
    <row r="6777" spans="1:4">
      <c r="A6777" t="s">
        <v>12439</v>
      </c>
      <c r="B6777">
        <v>29300</v>
      </c>
      <c r="C6777" t="s">
        <v>12440</v>
      </c>
      <c r="D6777" t="s">
        <v>6168</v>
      </c>
    </row>
    <row r="6778" spans="1:4">
      <c r="A6778" t="s">
        <v>12441</v>
      </c>
      <c r="B6778">
        <v>35298</v>
      </c>
      <c r="C6778" t="s">
        <v>4950</v>
      </c>
      <c r="D6778" t="s">
        <v>6168</v>
      </c>
    </row>
    <row r="6779" spans="1:4">
      <c r="A6779" t="s">
        <v>12442</v>
      </c>
      <c r="B6779">
        <v>42203</v>
      </c>
      <c r="C6779" t="s">
        <v>12443</v>
      </c>
      <c r="D6779" t="s">
        <v>6168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12444</v>
      </c>
      <c r="B6781">
        <v>22321</v>
      </c>
      <c r="C6781" t="s">
        <v>12445</v>
      </c>
      <c r="D6781" t="s">
        <v>6168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12446</v>
      </c>
      <c r="B6783">
        <v>10252</v>
      </c>
      <c r="C6783" t="s">
        <v>4862</v>
      </c>
      <c r="D6783" t="s">
        <v>6168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12447</v>
      </c>
      <c r="B6786">
        <v>40874</v>
      </c>
      <c r="C6786" t="s">
        <v>4950</v>
      </c>
      <c r="D6786" t="s">
        <v>6168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12448</v>
      </c>
      <c r="B6788">
        <v>35205</v>
      </c>
      <c r="C6788" t="s">
        <v>11510</v>
      </c>
      <c r="D6788" t="s">
        <v>6168</v>
      </c>
    </row>
    <row r="6789" spans="1:4">
      <c r="A6789" t="s">
        <v>12449</v>
      </c>
      <c r="B6789">
        <v>23808</v>
      </c>
      <c r="C6789" t="s">
        <v>4268</v>
      </c>
      <c r="D6789" t="s">
        <v>6168</v>
      </c>
    </row>
    <row r="6790" spans="1:4">
      <c r="A6790" t="s">
        <v>12450</v>
      </c>
      <c r="B6790">
        <v>39498</v>
      </c>
      <c r="C6790" t="s">
        <v>1286</v>
      </c>
      <c r="D6790" t="s">
        <v>6267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12451</v>
      </c>
      <c r="B6792">
        <v>24216</v>
      </c>
      <c r="C6792" t="s">
        <v>12452</v>
      </c>
      <c r="D6792" t="s">
        <v>6168</v>
      </c>
    </row>
    <row r="6793" spans="1:4">
      <c r="A6793" t="s">
        <v>12453</v>
      </c>
      <c r="B6793">
        <v>30083</v>
      </c>
      <c r="C6793" t="s">
        <v>10665</v>
      </c>
      <c r="D6793" t="s">
        <v>6168</v>
      </c>
    </row>
    <row r="6794" spans="1:4">
      <c r="A6794" t="s">
        <v>12454</v>
      </c>
      <c r="B6794">
        <v>26185</v>
      </c>
      <c r="C6794" t="s">
        <v>12455</v>
      </c>
      <c r="D6794" t="s">
        <v>6168</v>
      </c>
    </row>
    <row r="6795" spans="1:4">
      <c r="A6795" t="s">
        <v>12456</v>
      </c>
      <c r="B6795">
        <v>42932</v>
      </c>
      <c r="C6795" t="s">
        <v>6749</v>
      </c>
      <c r="D6795" t="s">
        <v>6168</v>
      </c>
    </row>
    <row r="6796" spans="1:4">
      <c r="A6796" t="s">
        <v>12457</v>
      </c>
      <c r="B6796">
        <v>24217</v>
      </c>
      <c r="C6796" t="s">
        <v>6317</v>
      </c>
      <c r="D6796" t="s">
        <v>6168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12458</v>
      </c>
      <c r="B6799">
        <v>22323</v>
      </c>
      <c r="C6799" t="s">
        <v>4950</v>
      </c>
      <c r="D6799" t="s">
        <v>6168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12459</v>
      </c>
      <c r="B6801">
        <v>22325</v>
      </c>
      <c r="C6801" t="s">
        <v>12460</v>
      </c>
      <c r="D6801" t="s">
        <v>6267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12461</v>
      </c>
      <c r="B6803">
        <v>29197</v>
      </c>
      <c r="C6803" t="s">
        <v>7140</v>
      </c>
      <c r="D6803" t="s">
        <v>6168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12462</v>
      </c>
      <c r="B6806">
        <v>25343</v>
      </c>
      <c r="C6806" t="s">
        <v>6219</v>
      </c>
      <c r="D6806" t="s">
        <v>6168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12463</v>
      </c>
      <c r="B6808">
        <v>24218</v>
      </c>
      <c r="C6808" t="s">
        <v>12464</v>
      </c>
      <c r="D6808" t="s">
        <v>6314</v>
      </c>
    </row>
    <row r="6809" spans="1:4">
      <c r="A6809" t="s">
        <v>12465</v>
      </c>
      <c r="B6809">
        <v>43501</v>
      </c>
      <c r="C6809" t="s">
        <v>8531</v>
      </c>
      <c r="D6809" t="s">
        <v>123</v>
      </c>
    </row>
    <row r="6810" spans="1:4">
      <c r="A6810" t="s">
        <v>16873</v>
      </c>
      <c r="B6810">
        <v>43934</v>
      </c>
      <c r="C6810" t="s">
        <v>6785</v>
      </c>
      <c r="D6810" t="s">
        <v>6168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12466</v>
      </c>
      <c r="B6812">
        <v>1026</v>
      </c>
      <c r="C6812" t="s">
        <v>12467</v>
      </c>
      <c r="D6812" t="s">
        <v>6168</v>
      </c>
    </row>
    <row r="6813" spans="1:4">
      <c r="A6813" t="s">
        <v>17074</v>
      </c>
      <c r="B6813">
        <v>44330</v>
      </c>
      <c r="C6813" t="s">
        <v>1233</v>
      </c>
      <c r="D6813" t="s">
        <v>123</v>
      </c>
    </row>
    <row r="6814" spans="1:4">
      <c r="A6814" t="s">
        <v>17129</v>
      </c>
      <c r="B6814">
        <v>44387</v>
      </c>
      <c r="C6814" t="s">
        <v>6330</v>
      </c>
      <c r="D6814" t="s">
        <v>6168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12468</v>
      </c>
      <c r="B6816">
        <v>4585</v>
      </c>
      <c r="C6816" t="s">
        <v>4950</v>
      </c>
      <c r="D6816" t="s">
        <v>6168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12469</v>
      </c>
      <c r="B6818">
        <v>976</v>
      </c>
      <c r="C6818" t="s">
        <v>12470</v>
      </c>
      <c r="D6818" t="s">
        <v>6168</v>
      </c>
    </row>
    <row r="6819" spans="1:4">
      <c r="A6819" t="s">
        <v>12471</v>
      </c>
      <c r="B6819">
        <v>22326</v>
      </c>
      <c r="C6819" t="s">
        <v>465</v>
      </c>
      <c r="D6819" t="s">
        <v>6267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12472</v>
      </c>
      <c r="B6821">
        <v>22328</v>
      </c>
      <c r="C6821" t="s">
        <v>12473</v>
      </c>
      <c r="D6821" t="s">
        <v>6168</v>
      </c>
    </row>
    <row r="6822" spans="1:4">
      <c r="A6822" t="s">
        <v>12474</v>
      </c>
      <c r="B6822">
        <v>3159</v>
      </c>
      <c r="D6822" t="s">
        <v>6314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12475</v>
      </c>
      <c r="B6825">
        <v>41587</v>
      </c>
      <c r="C6825" t="s">
        <v>6601</v>
      </c>
      <c r="D6825" t="s">
        <v>6168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12476</v>
      </c>
      <c r="B6828">
        <v>19392</v>
      </c>
      <c r="C6828" t="s">
        <v>6170</v>
      </c>
      <c r="D6828" t="s">
        <v>6168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12477</v>
      </c>
      <c r="B6830">
        <v>3693</v>
      </c>
      <c r="C6830" t="s">
        <v>12478</v>
      </c>
      <c r="D6830" t="s">
        <v>6168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12479</v>
      </c>
      <c r="B6832">
        <v>35668</v>
      </c>
      <c r="C6832" t="s">
        <v>12480</v>
      </c>
      <c r="D6832" t="s">
        <v>6168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12481</v>
      </c>
      <c r="B6835">
        <v>4108</v>
      </c>
      <c r="C6835" t="s">
        <v>3612</v>
      </c>
      <c r="D6835" t="s">
        <v>6245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12482</v>
      </c>
      <c r="B6838">
        <v>4343</v>
      </c>
      <c r="C6838" t="s">
        <v>10270</v>
      </c>
      <c r="D6838" t="s">
        <v>6168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12483</v>
      </c>
      <c r="B6840">
        <v>30739</v>
      </c>
      <c r="C6840" t="s">
        <v>12484</v>
      </c>
      <c r="D6840" t="s">
        <v>6168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12485</v>
      </c>
      <c r="B6843">
        <v>2740</v>
      </c>
      <c r="C6843" t="s">
        <v>4761</v>
      </c>
      <c r="D6843" t="s">
        <v>6168</v>
      </c>
    </row>
    <row r="6844" spans="1:4">
      <c r="A6844" t="s">
        <v>12486</v>
      </c>
      <c r="B6844">
        <v>32522</v>
      </c>
      <c r="C6844" t="s">
        <v>12487</v>
      </c>
      <c r="D6844" t="s">
        <v>6168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12488</v>
      </c>
      <c r="B6846">
        <v>23115</v>
      </c>
      <c r="C6846" t="s">
        <v>12489</v>
      </c>
      <c r="D6846" t="s">
        <v>6267</v>
      </c>
    </row>
    <row r="6847" spans="1:4">
      <c r="A6847" t="s">
        <v>12490</v>
      </c>
      <c r="B6847">
        <v>22329</v>
      </c>
      <c r="D6847" t="s">
        <v>6241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12491</v>
      </c>
      <c r="B6850">
        <v>22331</v>
      </c>
      <c r="C6850" t="s">
        <v>12492</v>
      </c>
      <c r="D6850" t="s">
        <v>6168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12493</v>
      </c>
      <c r="B6852">
        <v>29517</v>
      </c>
      <c r="C6852" t="s">
        <v>4950</v>
      </c>
      <c r="D6852" t="s">
        <v>6168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12494</v>
      </c>
      <c r="B6855">
        <v>247</v>
      </c>
      <c r="C6855" t="s">
        <v>6568</v>
      </c>
      <c r="D6855" t="s">
        <v>6168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12495</v>
      </c>
      <c r="B6858">
        <v>24763</v>
      </c>
      <c r="C6858" t="s">
        <v>12496</v>
      </c>
      <c r="D6858" t="s">
        <v>6168</v>
      </c>
    </row>
    <row r="6859" spans="1:4">
      <c r="A6859" t="s">
        <v>12497</v>
      </c>
      <c r="B6859">
        <v>30359</v>
      </c>
      <c r="C6859" t="s">
        <v>12498</v>
      </c>
      <c r="D6859" t="s">
        <v>6168</v>
      </c>
    </row>
    <row r="6860" spans="1:4">
      <c r="A6860" t="s">
        <v>12499</v>
      </c>
      <c r="B6860">
        <v>24219</v>
      </c>
      <c r="C6860" t="s">
        <v>12500</v>
      </c>
      <c r="D6860" t="s">
        <v>6168</v>
      </c>
    </row>
    <row r="6861" spans="1:4">
      <c r="A6861" t="s">
        <v>12501</v>
      </c>
      <c r="B6861">
        <v>30379</v>
      </c>
      <c r="C6861" t="s">
        <v>12502</v>
      </c>
      <c r="D6861" t="s">
        <v>6168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12503</v>
      </c>
      <c r="B6863">
        <v>544</v>
      </c>
      <c r="C6863" t="s">
        <v>12404</v>
      </c>
      <c r="D6863" t="s">
        <v>6168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12504</v>
      </c>
      <c r="B6865">
        <v>40873</v>
      </c>
      <c r="C6865" t="s">
        <v>12505</v>
      </c>
      <c r="D6865" t="s">
        <v>6168</v>
      </c>
    </row>
    <row r="6866" spans="1:4">
      <c r="A6866" t="s">
        <v>12506</v>
      </c>
      <c r="B6866">
        <v>186</v>
      </c>
      <c r="D6866" t="s">
        <v>6248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12507</v>
      </c>
      <c r="B6868">
        <v>31466</v>
      </c>
      <c r="C6868" t="s">
        <v>12508</v>
      </c>
      <c r="D6868" t="s">
        <v>6168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12509</v>
      </c>
      <c r="B6871">
        <v>359</v>
      </c>
      <c r="C6871" t="s">
        <v>9627</v>
      </c>
      <c r="D6871" t="s">
        <v>6168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12510</v>
      </c>
      <c r="B6874">
        <v>3734</v>
      </c>
      <c r="C6874" t="s">
        <v>12511</v>
      </c>
      <c r="D6874" t="s">
        <v>6168</v>
      </c>
    </row>
    <row r="6875" spans="1:4">
      <c r="A6875" t="s">
        <v>12512</v>
      </c>
      <c r="B6875">
        <v>3735</v>
      </c>
      <c r="C6875" t="s">
        <v>4055</v>
      </c>
      <c r="D6875" t="s">
        <v>6168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12513</v>
      </c>
      <c r="B6878">
        <v>43140</v>
      </c>
      <c r="C6878" t="s">
        <v>5162</v>
      </c>
      <c r="D6878" t="s">
        <v>6314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12514</v>
      </c>
      <c r="B6880">
        <v>30380</v>
      </c>
      <c r="C6880" t="s">
        <v>16683</v>
      </c>
      <c r="D6880" t="s">
        <v>6168</v>
      </c>
    </row>
    <row r="6881" spans="1:4">
      <c r="A6881" t="s">
        <v>12515</v>
      </c>
      <c r="B6881">
        <v>24764</v>
      </c>
      <c r="C6881" t="s">
        <v>6533</v>
      </c>
      <c r="D6881" t="s">
        <v>6168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12516</v>
      </c>
      <c r="B6884">
        <v>559</v>
      </c>
      <c r="D6884" t="s">
        <v>6168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12517</v>
      </c>
      <c r="B6886">
        <v>22333</v>
      </c>
      <c r="C6886" t="s">
        <v>11325</v>
      </c>
      <c r="D6886" t="s">
        <v>6168</v>
      </c>
    </row>
    <row r="6887" spans="1:4">
      <c r="A6887" t="s">
        <v>12518</v>
      </c>
      <c r="B6887">
        <v>22334</v>
      </c>
      <c r="C6887" t="s">
        <v>432</v>
      </c>
      <c r="D6887" t="s">
        <v>6168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12519</v>
      </c>
      <c r="B6889">
        <v>273</v>
      </c>
      <c r="C6889" t="s">
        <v>1475</v>
      </c>
      <c r="D6889" t="s">
        <v>6168</v>
      </c>
    </row>
    <row r="6890" spans="1:4">
      <c r="A6890" t="s">
        <v>12520</v>
      </c>
      <c r="B6890">
        <v>41806</v>
      </c>
      <c r="C6890" t="s">
        <v>392</v>
      </c>
      <c r="D6890" t="s">
        <v>6168</v>
      </c>
    </row>
    <row r="6891" spans="1:4">
      <c r="A6891" t="s">
        <v>12521</v>
      </c>
      <c r="B6891">
        <v>272</v>
      </c>
      <c r="C6891" t="s">
        <v>1790</v>
      </c>
      <c r="D6891" t="s">
        <v>6168</v>
      </c>
    </row>
    <row r="6892" spans="1:4">
      <c r="A6892" t="s">
        <v>12522</v>
      </c>
      <c r="B6892">
        <v>269</v>
      </c>
      <c r="C6892" t="s">
        <v>1790</v>
      </c>
      <c r="D6892" t="s">
        <v>6168</v>
      </c>
    </row>
    <row r="6893" spans="1:4">
      <c r="A6893" t="s">
        <v>12523</v>
      </c>
      <c r="B6893">
        <v>270</v>
      </c>
      <c r="C6893" t="s">
        <v>12524</v>
      </c>
      <c r="D6893" t="s">
        <v>6168</v>
      </c>
    </row>
    <row r="6894" spans="1:4">
      <c r="A6894" t="s">
        <v>12525</v>
      </c>
      <c r="B6894">
        <v>271</v>
      </c>
      <c r="C6894" t="s">
        <v>12526</v>
      </c>
      <c r="D6894" t="s">
        <v>6168</v>
      </c>
    </row>
    <row r="6895" spans="1:4">
      <c r="A6895" t="s">
        <v>12527</v>
      </c>
      <c r="B6895">
        <v>274</v>
      </c>
      <c r="C6895" t="s">
        <v>6568</v>
      </c>
      <c r="D6895" t="s">
        <v>6168</v>
      </c>
    </row>
    <row r="6896" spans="1:4">
      <c r="A6896" t="s">
        <v>12528</v>
      </c>
      <c r="B6896">
        <v>275</v>
      </c>
      <c r="C6896" t="s">
        <v>6519</v>
      </c>
      <c r="D6896" t="s">
        <v>6168</v>
      </c>
    </row>
    <row r="6897" spans="1:4">
      <c r="A6897" t="s">
        <v>12529</v>
      </c>
      <c r="B6897">
        <v>40720</v>
      </c>
      <c r="C6897" t="s">
        <v>1790</v>
      </c>
      <c r="D6897" t="s">
        <v>6168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12530</v>
      </c>
      <c r="B6899">
        <v>22336</v>
      </c>
      <c r="C6899" t="s">
        <v>7712</v>
      </c>
      <c r="D6899" t="s">
        <v>6168</v>
      </c>
    </row>
    <row r="6900" spans="1:4">
      <c r="A6900" t="s">
        <v>12531</v>
      </c>
      <c r="B6900">
        <v>22337</v>
      </c>
      <c r="C6900" t="s">
        <v>12532</v>
      </c>
      <c r="D6900" t="s">
        <v>6168</v>
      </c>
    </row>
    <row r="6901" spans="1:4">
      <c r="A6901" t="s">
        <v>12533</v>
      </c>
      <c r="B6901">
        <v>22338</v>
      </c>
      <c r="C6901" t="s">
        <v>12534</v>
      </c>
      <c r="D6901" t="s">
        <v>6168</v>
      </c>
    </row>
    <row r="6902" spans="1:4">
      <c r="A6902" t="s">
        <v>12535</v>
      </c>
      <c r="B6902">
        <v>22339</v>
      </c>
      <c r="C6902" t="s">
        <v>12205</v>
      </c>
      <c r="D6902" t="s">
        <v>6168</v>
      </c>
    </row>
    <row r="6903" spans="1:4">
      <c r="A6903" t="s">
        <v>12536</v>
      </c>
      <c r="B6903">
        <v>22340</v>
      </c>
      <c r="C6903" t="s">
        <v>12537</v>
      </c>
      <c r="D6903" t="s">
        <v>6168</v>
      </c>
    </row>
    <row r="6904" spans="1:4">
      <c r="A6904" t="s">
        <v>12538</v>
      </c>
      <c r="B6904">
        <v>22341</v>
      </c>
      <c r="C6904" t="s">
        <v>825</v>
      </c>
      <c r="D6904" t="s">
        <v>6168</v>
      </c>
    </row>
    <row r="6905" spans="1:4">
      <c r="A6905" t="s">
        <v>12539</v>
      </c>
      <c r="B6905">
        <v>22342</v>
      </c>
      <c r="C6905" t="s">
        <v>11325</v>
      </c>
      <c r="D6905" t="s">
        <v>6168</v>
      </c>
    </row>
    <row r="6906" spans="1:4">
      <c r="A6906" t="s">
        <v>12540</v>
      </c>
      <c r="B6906">
        <v>22343</v>
      </c>
      <c r="C6906" t="s">
        <v>12532</v>
      </c>
      <c r="D6906" t="s">
        <v>6168</v>
      </c>
    </row>
    <row r="6907" spans="1:4">
      <c r="A6907" t="s">
        <v>12541</v>
      </c>
      <c r="B6907">
        <v>22344</v>
      </c>
      <c r="C6907" t="s">
        <v>9505</v>
      </c>
      <c r="D6907" t="s">
        <v>6168</v>
      </c>
    </row>
    <row r="6908" spans="1:4">
      <c r="A6908" t="s">
        <v>12542</v>
      </c>
      <c r="B6908">
        <v>22345</v>
      </c>
      <c r="C6908" t="s">
        <v>6201</v>
      </c>
      <c r="D6908" t="s">
        <v>6449</v>
      </c>
    </row>
    <row r="6909" spans="1:4">
      <c r="A6909" t="s">
        <v>12543</v>
      </c>
      <c r="B6909">
        <v>22346</v>
      </c>
      <c r="C6909" t="s">
        <v>12544</v>
      </c>
      <c r="D6909" t="s">
        <v>6168</v>
      </c>
    </row>
    <row r="6910" spans="1:4">
      <c r="A6910" t="s">
        <v>12545</v>
      </c>
      <c r="B6910">
        <v>22347</v>
      </c>
      <c r="C6910" t="s">
        <v>12546</v>
      </c>
      <c r="D6910" t="s">
        <v>6168</v>
      </c>
    </row>
    <row r="6911" spans="1:4">
      <c r="A6911" t="s">
        <v>12547</v>
      </c>
      <c r="B6911">
        <v>22348</v>
      </c>
      <c r="C6911" t="s">
        <v>6201</v>
      </c>
      <c r="D6911" t="s">
        <v>6168</v>
      </c>
    </row>
    <row r="6912" spans="1:4">
      <c r="A6912" t="s">
        <v>12548</v>
      </c>
      <c r="B6912">
        <v>22349</v>
      </c>
      <c r="C6912" t="s">
        <v>12549</v>
      </c>
      <c r="D6912" t="s">
        <v>6168</v>
      </c>
    </row>
    <row r="6913" spans="1:4">
      <c r="A6913" t="s">
        <v>12550</v>
      </c>
      <c r="B6913">
        <v>22350</v>
      </c>
      <c r="C6913" t="s">
        <v>12205</v>
      </c>
      <c r="D6913" t="s">
        <v>6168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12551</v>
      </c>
      <c r="B6915">
        <v>20479</v>
      </c>
      <c r="C6915" t="s">
        <v>12552</v>
      </c>
      <c r="D6915" t="s">
        <v>6168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12553</v>
      </c>
      <c r="B6917">
        <v>3758</v>
      </c>
      <c r="C6917" t="s">
        <v>12554</v>
      </c>
      <c r="D6917" t="s">
        <v>6168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12555</v>
      </c>
      <c r="B6919">
        <v>640</v>
      </c>
      <c r="C6919" t="s">
        <v>6219</v>
      </c>
      <c r="D6919" t="s">
        <v>6168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12556</v>
      </c>
      <c r="B6922">
        <v>29844</v>
      </c>
      <c r="C6922" t="s">
        <v>12557</v>
      </c>
      <c r="D6922" t="s">
        <v>6168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12558</v>
      </c>
      <c r="B6924">
        <v>29290</v>
      </c>
      <c r="C6924" t="s">
        <v>12559</v>
      </c>
      <c r="D6924" t="s">
        <v>6230</v>
      </c>
    </row>
    <row r="6925" spans="1:4">
      <c r="A6925" t="s">
        <v>12560</v>
      </c>
      <c r="B6925">
        <v>30382</v>
      </c>
      <c r="C6925" t="s">
        <v>3287</v>
      </c>
      <c r="D6925" t="s">
        <v>6267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12561</v>
      </c>
      <c r="B6927">
        <v>34169</v>
      </c>
      <c r="C6927" t="s">
        <v>2924</v>
      </c>
      <c r="D6927" t="s">
        <v>6168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12562</v>
      </c>
      <c r="B6930">
        <v>30481</v>
      </c>
      <c r="C6930" t="s">
        <v>6697</v>
      </c>
      <c r="D6930" t="s">
        <v>6168</v>
      </c>
    </row>
    <row r="6931" spans="1:4">
      <c r="A6931" t="s">
        <v>12563</v>
      </c>
      <c r="B6931">
        <v>23813</v>
      </c>
      <c r="C6931" t="s">
        <v>10196</v>
      </c>
      <c r="D6931" t="s">
        <v>6168</v>
      </c>
    </row>
    <row r="6932" spans="1:4">
      <c r="A6932" t="s">
        <v>12564</v>
      </c>
      <c r="B6932">
        <v>29192</v>
      </c>
      <c r="C6932" t="s">
        <v>4728</v>
      </c>
      <c r="D6932" t="s">
        <v>6168</v>
      </c>
    </row>
    <row r="6933" spans="1:4">
      <c r="A6933" t="s">
        <v>12565</v>
      </c>
      <c r="B6933">
        <v>31069</v>
      </c>
      <c r="C6933" t="s">
        <v>12566</v>
      </c>
      <c r="D6933" t="s">
        <v>6168</v>
      </c>
    </row>
    <row r="6934" spans="1:4">
      <c r="A6934" t="s">
        <v>12567</v>
      </c>
      <c r="B6934">
        <v>24221</v>
      </c>
      <c r="C6934" t="s">
        <v>6853</v>
      </c>
      <c r="D6934" t="s">
        <v>6168</v>
      </c>
    </row>
    <row r="6935" spans="1:4">
      <c r="A6935" t="s">
        <v>12568</v>
      </c>
      <c r="B6935">
        <v>23814</v>
      </c>
      <c r="C6935" t="s">
        <v>6657</v>
      </c>
      <c r="D6935" t="s">
        <v>6168</v>
      </c>
    </row>
    <row r="6936" spans="1:4">
      <c r="A6936" t="s">
        <v>12569</v>
      </c>
      <c r="B6936">
        <v>23815</v>
      </c>
      <c r="C6936" t="s">
        <v>2809</v>
      </c>
      <c r="D6936" t="s">
        <v>6168</v>
      </c>
    </row>
    <row r="6937" spans="1:4">
      <c r="A6937" t="s">
        <v>12570</v>
      </c>
      <c r="B6937">
        <v>41206</v>
      </c>
      <c r="C6937" t="s">
        <v>12571</v>
      </c>
      <c r="D6937" t="s">
        <v>6168</v>
      </c>
    </row>
    <row r="6938" spans="1:4">
      <c r="A6938" t="s">
        <v>12572</v>
      </c>
      <c r="B6938">
        <v>31068</v>
      </c>
      <c r="C6938" t="s">
        <v>12566</v>
      </c>
      <c r="D6938" t="s">
        <v>6168</v>
      </c>
    </row>
    <row r="6939" spans="1:4">
      <c r="A6939" t="s">
        <v>12573</v>
      </c>
      <c r="B6939">
        <v>31067</v>
      </c>
      <c r="C6939" t="s">
        <v>8798</v>
      </c>
      <c r="D6939" t="s">
        <v>6168</v>
      </c>
    </row>
    <row r="6940" spans="1:4">
      <c r="A6940" t="s">
        <v>12574</v>
      </c>
      <c r="B6940">
        <v>30490</v>
      </c>
      <c r="C6940" t="s">
        <v>6697</v>
      </c>
      <c r="D6940" t="s">
        <v>6168</v>
      </c>
    </row>
    <row r="6941" spans="1:4">
      <c r="A6941" t="s">
        <v>12575</v>
      </c>
      <c r="B6941">
        <v>23816</v>
      </c>
      <c r="C6941" t="s">
        <v>6657</v>
      </c>
      <c r="D6941" t="s">
        <v>6168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12576</v>
      </c>
      <c r="B6943">
        <v>35711</v>
      </c>
      <c r="C6943" t="s">
        <v>12577</v>
      </c>
      <c r="D6943" t="s">
        <v>6168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12578</v>
      </c>
      <c r="B6945">
        <v>29224</v>
      </c>
      <c r="C6945" t="s">
        <v>12579</v>
      </c>
      <c r="D6945" t="s">
        <v>6168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12580</v>
      </c>
      <c r="B6947">
        <v>24766</v>
      </c>
      <c r="C6947" t="s">
        <v>4253</v>
      </c>
      <c r="D6947" t="s">
        <v>6168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12581</v>
      </c>
      <c r="B6949">
        <v>41759</v>
      </c>
      <c r="C6949" t="s">
        <v>12582</v>
      </c>
      <c r="D6949" t="s">
        <v>6168</v>
      </c>
    </row>
    <row r="6950" spans="1:4">
      <c r="A6950" t="s">
        <v>12583</v>
      </c>
      <c r="B6950">
        <v>41760</v>
      </c>
      <c r="C6950" t="s">
        <v>12584</v>
      </c>
      <c r="D6950" t="s">
        <v>6168</v>
      </c>
    </row>
    <row r="6951" spans="1:4">
      <c r="A6951" t="s">
        <v>12585</v>
      </c>
      <c r="B6951">
        <v>2709</v>
      </c>
      <c r="D6951" t="s">
        <v>6168</v>
      </c>
    </row>
    <row r="6952" spans="1:4">
      <c r="A6952" t="s">
        <v>12586</v>
      </c>
      <c r="B6952">
        <v>41761</v>
      </c>
      <c r="C6952" t="s">
        <v>12587</v>
      </c>
      <c r="D6952" t="s">
        <v>6168</v>
      </c>
    </row>
    <row r="6953" spans="1:4">
      <c r="A6953" t="s">
        <v>12588</v>
      </c>
      <c r="B6953">
        <v>2710</v>
      </c>
      <c r="C6953" t="s">
        <v>4950</v>
      </c>
      <c r="D6953" t="s">
        <v>6168</v>
      </c>
    </row>
    <row r="6954" spans="1:4">
      <c r="A6954" t="s">
        <v>12589</v>
      </c>
      <c r="B6954">
        <v>2711</v>
      </c>
      <c r="C6954" t="s">
        <v>12590</v>
      </c>
      <c r="D6954" t="s">
        <v>6168</v>
      </c>
    </row>
    <row r="6955" spans="1:4">
      <c r="A6955" t="s">
        <v>12591</v>
      </c>
      <c r="B6955">
        <v>41763</v>
      </c>
      <c r="C6955" t="s">
        <v>12592</v>
      </c>
      <c r="D6955" t="s">
        <v>6449</v>
      </c>
    </row>
    <row r="6956" spans="1:4">
      <c r="A6956" t="s">
        <v>12593</v>
      </c>
      <c r="B6956">
        <v>41762</v>
      </c>
      <c r="C6956" t="s">
        <v>10293</v>
      </c>
      <c r="D6956" t="s">
        <v>6168</v>
      </c>
    </row>
    <row r="6957" spans="1:4">
      <c r="A6957" t="s">
        <v>12594</v>
      </c>
      <c r="B6957">
        <v>20396</v>
      </c>
      <c r="C6957" t="s">
        <v>12595</v>
      </c>
      <c r="D6957" t="s">
        <v>6267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12596</v>
      </c>
      <c r="B6959">
        <v>30734</v>
      </c>
      <c r="C6959" t="s">
        <v>12597</v>
      </c>
      <c r="D6959" t="s">
        <v>6168</v>
      </c>
    </row>
    <row r="6960" spans="1:4">
      <c r="A6960" t="s">
        <v>12598</v>
      </c>
      <c r="B6960">
        <v>35219</v>
      </c>
      <c r="C6960" t="s">
        <v>12599</v>
      </c>
      <c r="D6960" t="s">
        <v>6168</v>
      </c>
    </row>
    <row r="6961" spans="1:4">
      <c r="A6961" t="s">
        <v>12600</v>
      </c>
      <c r="B6961">
        <v>30733</v>
      </c>
      <c r="C6961" t="s">
        <v>12601</v>
      </c>
      <c r="D6961" t="s">
        <v>6168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12602</v>
      </c>
      <c r="B6963">
        <v>29275</v>
      </c>
      <c r="C6963" t="s">
        <v>644</v>
      </c>
      <c r="D6963" t="s">
        <v>6168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12603</v>
      </c>
      <c r="B6965">
        <v>34993</v>
      </c>
      <c r="C6965" t="s">
        <v>12604</v>
      </c>
      <c r="D6965" t="s">
        <v>6267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12605</v>
      </c>
      <c r="B6967">
        <v>40486</v>
      </c>
      <c r="C6967" t="s">
        <v>12606</v>
      </c>
      <c r="D6967" t="s">
        <v>6168</v>
      </c>
    </row>
    <row r="6968" spans="1:4">
      <c r="A6968" t="s">
        <v>12607</v>
      </c>
      <c r="B6968">
        <v>39692</v>
      </c>
      <c r="C6968" t="s">
        <v>12608</v>
      </c>
      <c r="D6968" t="s">
        <v>6168</v>
      </c>
    </row>
    <row r="6969" spans="1:4">
      <c r="A6969" t="s">
        <v>12609</v>
      </c>
      <c r="B6969">
        <v>39693</v>
      </c>
      <c r="C6969" t="s">
        <v>12610</v>
      </c>
      <c r="D6969" t="s">
        <v>6168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12611</v>
      </c>
      <c r="B6971">
        <v>40485</v>
      </c>
      <c r="C6971" t="s">
        <v>5743</v>
      </c>
      <c r="D6971" t="s">
        <v>6314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12612</v>
      </c>
      <c r="B6973">
        <v>26177</v>
      </c>
      <c r="C6973" t="s">
        <v>4728</v>
      </c>
      <c r="D6973" t="s">
        <v>6168</v>
      </c>
    </row>
    <row r="6974" spans="1:4">
      <c r="A6974" t="s">
        <v>12613</v>
      </c>
      <c r="B6974">
        <v>24223</v>
      </c>
      <c r="C6974" t="s">
        <v>3196</v>
      </c>
      <c r="D6974" t="s">
        <v>6168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12614</v>
      </c>
      <c r="B6976">
        <v>29845</v>
      </c>
      <c r="C6976" t="s">
        <v>12615</v>
      </c>
      <c r="D6976" t="s">
        <v>6168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12616</v>
      </c>
      <c r="B6978">
        <v>25710</v>
      </c>
      <c r="C6978" t="s">
        <v>12617</v>
      </c>
      <c r="D6978" t="s">
        <v>6168</v>
      </c>
    </row>
    <row r="6979" spans="1:4">
      <c r="A6979" t="s">
        <v>12618</v>
      </c>
      <c r="B6979">
        <v>5091</v>
      </c>
      <c r="C6979" t="s">
        <v>12619</v>
      </c>
      <c r="D6979" t="s">
        <v>6168</v>
      </c>
    </row>
    <row r="6980" spans="1:4">
      <c r="A6980" t="s">
        <v>12620</v>
      </c>
      <c r="B6980">
        <v>24946</v>
      </c>
      <c r="C6980" t="s">
        <v>12621</v>
      </c>
      <c r="D6980" t="s">
        <v>6168</v>
      </c>
    </row>
    <row r="6981" spans="1:4">
      <c r="A6981" t="s">
        <v>12622</v>
      </c>
      <c r="B6981">
        <v>5092</v>
      </c>
      <c r="C6981" t="s">
        <v>7566</v>
      </c>
      <c r="D6981" t="s">
        <v>6168</v>
      </c>
    </row>
    <row r="6982" spans="1:4">
      <c r="A6982" t="s">
        <v>12623</v>
      </c>
      <c r="B6982">
        <v>25709</v>
      </c>
      <c r="C6982" t="s">
        <v>12624</v>
      </c>
      <c r="D6982" t="s">
        <v>6168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12625</v>
      </c>
      <c r="B6984">
        <v>31252</v>
      </c>
      <c r="C6984" t="s">
        <v>12626</v>
      </c>
      <c r="D6984" t="s">
        <v>6168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12627</v>
      </c>
      <c r="B6986">
        <v>3808</v>
      </c>
      <c r="C6986" t="s">
        <v>12628</v>
      </c>
      <c r="D6986" t="s">
        <v>6168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12629</v>
      </c>
      <c r="B6988">
        <v>30467</v>
      </c>
      <c r="C6988" t="s">
        <v>7755</v>
      </c>
      <c r="D6988" t="s">
        <v>6168</v>
      </c>
    </row>
    <row r="6989" spans="1:4">
      <c r="A6989" t="s">
        <v>12630</v>
      </c>
      <c r="B6989">
        <v>23438</v>
      </c>
      <c r="C6989" t="s">
        <v>7430</v>
      </c>
      <c r="D6989" t="s">
        <v>6168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12631</v>
      </c>
      <c r="B6991">
        <v>22352</v>
      </c>
      <c r="C6991" t="s">
        <v>12632</v>
      </c>
      <c r="D6991" t="s">
        <v>6168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12633</v>
      </c>
      <c r="B6993">
        <v>29847</v>
      </c>
      <c r="C6993" t="s">
        <v>12634</v>
      </c>
      <c r="D6993" t="s">
        <v>6168</v>
      </c>
    </row>
    <row r="6994" spans="1:4">
      <c r="A6994" t="s">
        <v>12635</v>
      </c>
      <c r="B6994">
        <v>29848</v>
      </c>
      <c r="C6994" t="s">
        <v>12634</v>
      </c>
      <c r="D6994" t="s">
        <v>6168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12636</v>
      </c>
      <c r="B6996">
        <v>32512</v>
      </c>
      <c r="C6996" t="s">
        <v>2241</v>
      </c>
      <c r="D6996" t="s">
        <v>6168</v>
      </c>
    </row>
    <row r="6997" spans="1:4">
      <c r="A6997" t="s">
        <v>12637</v>
      </c>
      <c r="B6997">
        <v>41771</v>
      </c>
      <c r="C6997" t="s">
        <v>12638</v>
      </c>
      <c r="D6997" t="s">
        <v>6168</v>
      </c>
    </row>
    <row r="6998" spans="1:4">
      <c r="A6998" t="s">
        <v>12639</v>
      </c>
      <c r="B6998">
        <v>2741</v>
      </c>
      <c r="C6998" t="s">
        <v>12640</v>
      </c>
      <c r="D6998" t="s">
        <v>6168</v>
      </c>
    </row>
    <row r="6999" spans="1:4">
      <c r="A6999" t="s">
        <v>12641</v>
      </c>
      <c r="B6999">
        <v>2742</v>
      </c>
      <c r="C6999" t="s">
        <v>12642</v>
      </c>
      <c r="D6999" t="s">
        <v>6168</v>
      </c>
    </row>
    <row r="7000" spans="1:4">
      <c r="A7000" t="s">
        <v>12643</v>
      </c>
      <c r="B7000">
        <v>2743</v>
      </c>
      <c r="D7000" t="s">
        <v>6168</v>
      </c>
    </row>
    <row r="7001" spans="1:4">
      <c r="A7001" t="s">
        <v>12644</v>
      </c>
      <c r="B7001">
        <v>23116</v>
      </c>
      <c r="C7001" t="s">
        <v>12645</v>
      </c>
      <c r="D7001" t="s">
        <v>6267</v>
      </c>
    </row>
    <row r="7002" spans="1:4">
      <c r="A7002" t="s">
        <v>12646</v>
      </c>
      <c r="B7002">
        <v>23117</v>
      </c>
      <c r="C7002" t="s">
        <v>12647</v>
      </c>
      <c r="D7002" t="s">
        <v>6305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17459</v>
      </c>
      <c r="B7004">
        <v>45749</v>
      </c>
      <c r="C7004" t="s">
        <v>1273</v>
      </c>
      <c r="D7004" t="s">
        <v>6168</v>
      </c>
    </row>
    <row r="7005" spans="1:4">
      <c r="A7005" t="s">
        <v>17460</v>
      </c>
      <c r="B7005">
        <v>45750</v>
      </c>
      <c r="C7005" t="s">
        <v>243</v>
      </c>
      <c r="D7005" t="s">
        <v>6168</v>
      </c>
    </row>
    <row r="7006" spans="1:4">
      <c r="A7006" t="s">
        <v>12648</v>
      </c>
      <c r="B7006">
        <v>36215</v>
      </c>
      <c r="C7006" t="s">
        <v>12649</v>
      </c>
      <c r="D7006" t="s">
        <v>6168</v>
      </c>
    </row>
    <row r="7007" spans="1:4">
      <c r="A7007" t="s">
        <v>12650</v>
      </c>
      <c r="B7007">
        <v>36214</v>
      </c>
      <c r="C7007" t="s">
        <v>12651</v>
      </c>
      <c r="D7007" t="s">
        <v>6168</v>
      </c>
    </row>
    <row r="7008" spans="1:4">
      <c r="A7008" t="s">
        <v>12652</v>
      </c>
      <c r="B7008">
        <v>43503</v>
      </c>
      <c r="C7008" t="s">
        <v>12653</v>
      </c>
      <c r="D7008" t="s">
        <v>6168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12654</v>
      </c>
      <c r="B7010">
        <v>29662</v>
      </c>
      <c r="C7010" t="s">
        <v>3795</v>
      </c>
      <c r="D7010" t="s">
        <v>6305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12655</v>
      </c>
      <c r="B7012">
        <v>30827</v>
      </c>
      <c r="C7012" t="s">
        <v>4950</v>
      </c>
      <c r="D7012" t="s">
        <v>6168</v>
      </c>
    </row>
    <row r="7013" spans="1:4">
      <c r="A7013" t="s">
        <v>12656</v>
      </c>
      <c r="B7013">
        <v>34044</v>
      </c>
      <c r="C7013" t="s">
        <v>12657</v>
      </c>
      <c r="D7013" t="s">
        <v>6449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12658</v>
      </c>
      <c r="B7016">
        <v>22354</v>
      </c>
      <c r="C7016" t="s">
        <v>12659</v>
      </c>
      <c r="D7016" t="s">
        <v>6168</v>
      </c>
    </row>
    <row r="7017" spans="1:4">
      <c r="A7017" t="s">
        <v>12660</v>
      </c>
      <c r="B7017">
        <v>22355</v>
      </c>
      <c r="C7017" t="s">
        <v>11232</v>
      </c>
      <c r="D7017" t="s">
        <v>6168</v>
      </c>
    </row>
    <row r="7018" spans="1:4">
      <c r="A7018" t="s">
        <v>17174</v>
      </c>
      <c r="B7018">
        <v>44472</v>
      </c>
      <c r="C7018" t="s">
        <v>2811</v>
      </c>
      <c r="D7018" t="s">
        <v>123</v>
      </c>
    </row>
    <row r="7019" spans="1:4">
      <c r="A7019" t="s">
        <v>12661</v>
      </c>
      <c r="B7019">
        <v>31459</v>
      </c>
      <c r="C7019" t="s">
        <v>12662</v>
      </c>
      <c r="D7019" t="s">
        <v>6168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12663</v>
      </c>
      <c r="B7021">
        <v>22357</v>
      </c>
      <c r="C7021" t="s">
        <v>776</v>
      </c>
      <c r="D7021" t="s">
        <v>6168</v>
      </c>
    </row>
    <row r="7022" spans="1:4">
      <c r="A7022" t="s">
        <v>12664</v>
      </c>
      <c r="B7022">
        <v>31066</v>
      </c>
      <c r="C7022" t="s">
        <v>4950</v>
      </c>
      <c r="D7022" t="s">
        <v>6168</v>
      </c>
    </row>
    <row r="7023" spans="1:4">
      <c r="A7023" t="s">
        <v>12665</v>
      </c>
      <c r="B7023">
        <v>31065</v>
      </c>
      <c r="C7023" t="s">
        <v>6558</v>
      </c>
      <c r="D7023" t="s">
        <v>6168</v>
      </c>
    </row>
    <row r="7024" spans="1:4">
      <c r="A7024" t="s">
        <v>12666</v>
      </c>
      <c r="B7024">
        <v>42785</v>
      </c>
      <c r="C7024" t="s">
        <v>12667</v>
      </c>
      <c r="D7024" t="s">
        <v>6168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12668</v>
      </c>
      <c r="B7026">
        <v>30559</v>
      </c>
      <c r="C7026" t="s">
        <v>4950</v>
      </c>
      <c r="D7026" t="s">
        <v>6168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12669</v>
      </c>
      <c r="B7028">
        <v>22359</v>
      </c>
      <c r="C7028" t="s">
        <v>3839</v>
      </c>
      <c r="D7028" t="s">
        <v>6267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12670</v>
      </c>
      <c r="B7030">
        <v>4485</v>
      </c>
      <c r="C7030" t="s">
        <v>12671</v>
      </c>
      <c r="D7030" t="s">
        <v>6168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12672</v>
      </c>
      <c r="B7033">
        <v>22361</v>
      </c>
      <c r="C7033" t="s">
        <v>10773</v>
      </c>
      <c r="D7033" t="s">
        <v>6168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17130</v>
      </c>
      <c r="B7035">
        <v>44388</v>
      </c>
      <c r="C7035" t="s">
        <v>4617</v>
      </c>
      <c r="D7035" t="s">
        <v>123</v>
      </c>
    </row>
    <row r="7036" spans="1:4">
      <c r="A7036" t="s">
        <v>12673</v>
      </c>
      <c r="B7036">
        <v>27280</v>
      </c>
      <c r="D7036" t="s">
        <v>6168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12674</v>
      </c>
      <c r="B7038">
        <v>24767</v>
      </c>
      <c r="C7038" t="s">
        <v>12675</v>
      </c>
      <c r="D7038" t="s">
        <v>6168</v>
      </c>
    </row>
    <row r="7039" spans="1:4">
      <c r="A7039" t="s">
        <v>12676</v>
      </c>
      <c r="B7039">
        <v>22362</v>
      </c>
      <c r="C7039" t="s">
        <v>12677</v>
      </c>
      <c r="D7039" t="s">
        <v>6267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12678</v>
      </c>
      <c r="B7041">
        <v>29241</v>
      </c>
      <c r="C7041" t="s">
        <v>9974</v>
      </c>
      <c r="D7041" t="s">
        <v>6168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12679</v>
      </c>
      <c r="B7043">
        <v>22973</v>
      </c>
      <c r="C7043" t="s">
        <v>6239</v>
      </c>
      <c r="D7043" t="s">
        <v>6168</v>
      </c>
    </row>
    <row r="7044" spans="1:4">
      <c r="A7044" t="s">
        <v>12680</v>
      </c>
      <c r="B7044">
        <v>22363</v>
      </c>
      <c r="C7044" t="s">
        <v>7348</v>
      </c>
      <c r="D7044" t="s">
        <v>6168</v>
      </c>
    </row>
    <row r="7045" spans="1:4">
      <c r="A7045" t="s">
        <v>12681</v>
      </c>
      <c r="B7045">
        <v>43504</v>
      </c>
      <c r="C7045" t="s">
        <v>12682</v>
      </c>
      <c r="D7045" t="s">
        <v>6168</v>
      </c>
    </row>
    <row r="7046" spans="1:4">
      <c r="A7046" t="s">
        <v>12683</v>
      </c>
      <c r="B7046">
        <v>4222</v>
      </c>
      <c r="C7046" t="s">
        <v>4950</v>
      </c>
      <c r="D7046" t="s">
        <v>6168</v>
      </c>
    </row>
    <row r="7047" spans="1:4">
      <c r="A7047" t="s">
        <v>12684</v>
      </c>
      <c r="B7047">
        <v>22974</v>
      </c>
      <c r="C7047" t="s">
        <v>4950</v>
      </c>
      <c r="D7047" t="s">
        <v>6168</v>
      </c>
    </row>
    <row r="7048" spans="1:4">
      <c r="A7048" t="s">
        <v>17461</v>
      </c>
      <c r="B7048">
        <v>45751</v>
      </c>
      <c r="C7048" t="s">
        <v>3835</v>
      </c>
      <c r="D7048" t="s">
        <v>134</v>
      </c>
    </row>
    <row r="7049" spans="1:4">
      <c r="A7049" t="s">
        <v>17532</v>
      </c>
      <c r="B7049">
        <v>45949</v>
      </c>
      <c r="C7049" t="s">
        <v>874</v>
      </c>
      <c r="D7049" t="s">
        <v>123</v>
      </c>
    </row>
    <row r="7050" spans="1:4">
      <c r="A7050" t="s">
        <v>17553</v>
      </c>
      <c r="B7050">
        <v>45988</v>
      </c>
      <c r="C7050" t="s">
        <v>4950</v>
      </c>
      <c r="D7050" t="s">
        <v>6168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12685</v>
      </c>
      <c r="B7052">
        <v>39828</v>
      </c>
      <c r="C7052" t="s">
        <v>7336</v>
      </c>
      <c r="D7052" t="s">
        <v>6168</v>
      </c>
    </row>
    <row r="7053" spans="1:4">
      <c r="A7053" t="s">
        <v>12686</v>
      </c>
      <c r="B7053">
        <v>35429</v>
      </c>
      <c r="C7053" t="s">
        <v>4950</v>
      </c>
      <c r="D7053" t="s">
        <v>6168</v>
      </c>
    </row>
    <row r="7054" spans="1:4">
      <c r="A7054" t="s">
        <v>12687</v>
      </c>
      <c r="B7054">
        <v>36837</v>
      </c>
      <c r="C7054" t="s">
        <v>6849</v>
      </c>
      <c r="D7054" t="s">
        <v>6168</v>
      </c>
    </row>
    <row r="7055" spans="1:4">
      <c r="A7055" t="s">
        <v>12688</v>
      </c>
      <c r="B7055">
        <v>42081</v>
      </c>
      <c r="C7055" t="s">
        <v>5982</v>
      </c>
      <c r="D7055" t="s">
        <v>6267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12689</v>
      </c>
      <c r="B7057">
        <v>3022</v>
      </c>
      <c r="C7057" t="s">
        <v>12690</v>
      </c>
      <c r="D7057" t="s">
        <v>6168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12691</v>
      </c>
      <c r="B7059">
        <v>2382</v>
      </c>
      <c r="C7059" t="s">
        <v>11862</v>
      </c>
      <c r="D7059" t="s">
        <v>6168</v>
      </c>
    </row>
    <row r="7060" spans="1:4">
      <c r="A7060" t="s">
        <v>12692</v>
      </c>
      <c r="B7060">
        <v>2383</v>
      </c>
      <c r="C7060" t="s">
        <v>6475</v>
      </c>
      <c r="D7060" t="s">
        <v>6168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12693</v>
      </c>
      <c r="B7063">
        <v>347</v>
      </c>
      <c r="D7063" t="s">
        <v>6168</v>
      </c>
    </row>
    <row r="7064" spans="1:4">
      <c r="A7064" t="s">
        <v>12694</v>
      </c>
      <c r="B7064">
        <v>965</v>
      </c>
      <c r="D7064" t="s">
        <v>6872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12695</v>
      </c>
      <c r="B7067">
        <v>30853</v>
      </c>
      <c r="C7067" t="s">
        <v>636</v>
      </c>
      <c r="D7067" t="s">
        <v>6168</v>
      </c>
    </row>
    <row r="7068" spans="1:4">
      <c r="A7068" t="s">
        <v>12696</v>
      </c>
      <c r="B7068">
        <v>39640</v>
      </c>
      <c r="C7068" t="s">
        <v>12697</v>
      </c>
      <c r="D7068" t="s">
        <v>6245</v>
      </c>
    </row>
    <row r="7069" spans="1:4">
      <c r="A7069" t="s">
        <v>12698</v>
      </c>
      <c r="B7069">
        <v>30482</v>
      </c>
      <c r="D7069" t="s">
        <v>6245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17112</v>
      </c>
      <c r="B7071">
        <v>44359</v>
      </c>
      <c r="C7071" t="s">
        <v>17113</v>
      </c>
      <c r="D7071" t="s">
        <v>123</v>
      </c>
    </row>
    <row r="7072" spans="1:4">
      <c r="A7072" t="s">
        <v>17114</v>
      </c>
      <c r="B7072">
        <v>44360</v>
      </c>
      <c r="C7072" t="s">
        <v>17115</v>
      </c>
      <c r="D7072" t="s">
        <v>6168</v>
      </c>
    </row>
    <row r="7073" spans="1:4">
      <c r="A7073" t="s">
        <v>12699</v>
      </c>
      <c r="B7073">
        <v>43607</v>
      </c>
      <c r="C7073" t="s">
        <v>609</v>
      </c>
      <c r="D7073" t="s">
        <v>123</v>
      </c>
    </row>
    <row r="7074" spans="1:4">
      <c r="A7074" t="s">
        <v>12700</v>
      </c>
      <c r="B7074">
        <v>43618</v>
      </c>
      <c r="C7074" t="s">
        <v>4950</v>
      </c>
      <c r="D7074" t="s">
        <v>6168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12701</v>
      </c>
      <c r="B7076">
        <v>35428</v>
      </c>
      <c r="C7076" t="s">
        <v>3556</v>
      </c>
      <c r="D7076" t="s">
        <v>6168</v>
      </c>
    </row>
    <row r="7077" spans="1:4">
      <c r="A7077" t="s">
        <v>12702</v>
      </c>
      <c r="B7077">
        <v>35427</v>
      </c>
      <c r="C7077" t="s">
        <v>6558</v>
      </c>
      <c r="D7077" t="s">
        <v>6168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12703</v>
      </c>
      <c r="B7079">
        <v>25419</v>
      </c>
      <c r="C7079" t="s">
        <v>6625</v>
      </c>
      <c r="D7079" t="s">
        <v>6168</v>
      </c>
    </row>
    <row r="7080" spans="1:4">
      <c r="A7080" t="s">
        <v>12704</v>
      </c>
      <c r="B7080">
        <v>31093</v>
      </c>
      <c r="C7080" t="s">
        <v>12705</v>
      </c>
      <c r="D7080" t="s">
        <v>6168</v>
      </c>
    </row>
    <row r="7081" spans="1:4">
      <c r="A7081" t="s">
        <v>12706</v>
      </c>
      <c r="B7081">
        <v>31092</v>
      </c>
      <c r="C7081" t="s">
        <v>12705</v>
      </c>
      <c r="D7081" t="s">
        <v>6168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12707</v>
      </c>
      <c r="B7083">
        <v>30426</v>
      </c>
      <c r="C7083" t="s">
        <v>12708</v>
      </c>
      <c r="D7083" t="s">
        <v>6168</v>
      </c>
    </row>
    <row r="7084" spans="1:4">
      <c r="A7084" t="s">
        <v>12709</v>
      </c>
      <c r="B7084">
        <v>23818</v>
      </c>
      <c r="C7084" t="s">
        <v>6974</v>
      </c>
      <c r="D7084" t="s">
        <v>6168</v>
      </c>
    </row>
    <row r="7085" spans="1:4">
      <c r="A7085" t="s">
        <v>12710</v>
      </c>
      <c r="B7085">
        <v>30480</v>
      </c>
      <c r="C7085" t="s">
        <v>6643</v>
      </c>
      <c r="D7085" t="s">
        <v>6168</v>
      </c>
    </row>
    <row r="7086" spans="1:4">
      <c r="A7086" t="s">
        <v>12711</v>
      </c>
      <c r="B7086">
        <v>30463</v>
      </c>
      <c r="C7086" t="s">
        <v>6697</v>
      </c>
      <c r="D7086" t="s">
        <v>6168</v>
      </c>
    </row>
    <row r="7087" spans="1:4">
      <c r="A7087" t="s">
        <v>17305</v>
      </c>
      <c r="B7087">
        <v>45394</v>
      </c>
      <c r="C7087" t="s">
        <v>1201</v>
      </c>
      <c r="D7087" t="s">
        <v>6168</v>
      </c>
    </row>
    <row r="7088" spans="1:4">
      <c r="A7088" t="s">
        <v>12712</v>
      </c>
      <c r="B7088">
        <v>23819</v>
      </c>
      <c r="C7088" t="s">
        <v>11967</v>
      </c>
      <c r="D7088" t="s">
        <v>6168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12713</v>
      </c>
      <c r="B7090">
        <v>34168</v>
      </c>
      <c r="C7090" t="s">
        <v>12714</v>
      </c>
      <c r="D7090" t="s">
        <v>6168</v>
      </c>
    </row>
    <row r="7091" spans="1:4">
      <c r="A7091" t="s">
        <v>12715</v>
      </c>
      <c r="B7091">
        <v>39610</v>
      </c>
      <c r="C7091" t="s">
        <v>12714</v>
      </c>
      <c r="D7091" t="s">
        <v>6168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12716</v>
      </c>
      <c r="B7094">
        <v>4128</v>
      </c>
      <c r="C7094" t="s">
        <v>9260</v>
      </c>
      <c r="D7094" t="s">
        <v>6168</v>
      </c>
    </row>
    <row r="7095" spans="1:4">
      <c r="A7095" t="s">
        <v>12717</v>
      </c>
      <c r="B7095">
        <v>42786</v>
      </c>
      <c r="C7095" t="s">
        <v>12718</v>
      </c>
      <c r="D7095" t="s">
        <v>6605</v>
      </c>
    </row>
    <row r="7096" spans="1:4">
      <c r="A7096" t="s">
        <v>12719</v>
      </c>
      <c r="B7096">
        <v>4628</v>
      </c>
      <c r="C7096" t="s">
        <v>12720</v>
      </c>
      <c r="D7096" t="s">
        <v>6241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12721</v>
      </c>
      <c r="B7098">
        <v>42915</v>
      </c>
      <c r="D7098" t="s">
        <v>6241</v>
      </c>
    </row>
    <row r="7099" spans="1:4">
      <c r="A7099" t="s">
        <v>12722</v>
      </c>
      <c r="B7099">
        <v>31807</v>
      </c>
      <c r="C7099" t="s">
        <v>12723</v>
      </c>
      <c r="D7099" t="s">
        <v>6168</v>
      </c>
    </row>
    <row r="7100" spans="1:4">
      <c r="A7100" t="s">
        <v>12724</v>
      </c>
      <c r="B7100">
        <v>31808</v>
      </c>
      <c r="C7100" t="s">
        <v>4950</v>
      </c>
      <c r="D7100" t="s">
        <v>6168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12725</v>
      </c>
      <c r="B7102">
        <v>29480</v>
      </c>
      <c r="C7102" t="s">
        <v>12726</v>
      </c>
      <c r="D7102" t="s">
        <v>6168</v>
      </c>
    </row>
    <row r="7103" spans="1:4">
      <c r="A7103" t="s">
        <v>12727</v>
      </c>
      <c r="B7103">
        <v>24224</v>
      </c>
      <c r="C7103" t="s">
        <v>12728</v>
      </c>
      <c r="D7103" t="s">
        <v>6245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12729</v>
      </c>
      <c r="B7106">
        <v>23820</v>
      </c>
      <c r="C7106" t="s">
        <v>12730</v>
      </c>
      <c r="D7106" t="s">
        <v>6245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12731</v>
      </c>
      <c r="B7108">
        <v>25498</v>
      </c>
      <c r="C7108" t="s">
        <v>12732</v>
      </c>
      <c r="D7108" t="s">
        <v>6168</v>
      </c>
    </row>
    <row r="7109" spans="1:4">
      <c r="A7109" t="s">
        <v>12733</v>
      </c>
      <c r="B7109">
        <v>30458</v>
      </c>
      <c r="C7109" t="s">
        <v>6190</v>
      </c>
      <c r="D7109" t="s">
        <v>6168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12734</v>
      </c>
      <c r="B7112">
        <v>36212</v>
      </c>
      <c r="C7112" t="s">
        <v>12735</v>
      </c>
      <c r="D7112" t="s">
        <v>6168</v>
      </c>
    </row>
    <row r="7113" spans="1:4">
      <c r="A7113" t="s">
        <v>17462</v>
      </c>
      <c r="B7113">
        <v>45752</v>
      </c>
      <c r="C7113" t="s">
        <v>6219</v>
      </c>
      <c r="D7113" t="s">
        <v>6168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16992</v>
      </c>
      <c r="D7116" t="s">
        <v>123</v>
      </c>
    </row>
    <row r="7117" spans="1:4">
      <c r="A7117" t="s">
        <v>12736</v>
      </c>
      <c r="B7117">
        <v>31423</v>
      </c>
      <c r="C7117" t="s">
        <v>12737</v>
      </c>
      <c r="D7117" t="s">
        <v>6168</v>
      </c>
    </row>
    <row r="7118" spans="1:4">
      <c r="A7118" t="s">
        <v>12738</v>
      </c>
      <c r="B7118">
        <v>29666</v>
      </c>
      <c r="C7118" t="s">
        <v>12739</v>
      </c>
      <c r="D7118" t="s">
        <v>6168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16950</v>
      </c>
      <c r="B7121">
        <v>44016</v>
      </c>
      <c r="C7121" t="s">
        <v>3826</v>
      </c>
      <c r="D7121" t="s">
        <v>6168</v>
      </c>
    </row>
    <row r="7122" spans="1:4">
      <c r="A7122" t="s">
        <v>12740</v>
      </c>
      <c r="B7122">
        <v>36211</v>
      </c>
      <c r="C7122" t="s">
        <v>12741</v>
      </c>
      <c r="D7122" t="s">
        <v>6168</v>
      </c>
    </row>
    <row r="7123" spans="1:4">
      <c r="A7123" t="s">
        <v>12742</v>
      </c>
      <c r="B7123">
        <v>41209</v>
      </c>
      <c r="C7123" t="s">
        <v>3826</v>
      </c>
      <c r="D7123" t="s">
        <v>6168</v>
      </c>
    </row>
    <row r="7124" spans="1:4">
      <c r="A7124" t="s">
        <v>16951</v>
      </c>
      <c r="B7124">
        <v>44017</v>
      </c>
      <c r="C7124" t="s">
        <v>11656</v>
      </c>
      <c r="D7124" t="s">
        <v>6168</v>
      </c>
    </row>
    <row r="7125" spans="1:4">
      <c r="A7125" t="s">
        <v>12743</v>
      </c>
      <c r="B7125">
        <v>41210</v>
      </c>
      <c r="C7125" t="s">
        <v>6216</v>
      </c>
      <c r="D7125" t="s">
        <v>6168</v>
      </c>
    </row>
    <row r="7126" spans="1:4">
      <c r="A7126" t="s">
        <v>12744</v>
      </c>
      <c r="B7126">
        <v>41211</v>
      </c>
      <c r="C7126" t="s">
        <v>3826</v>
      </c>
      <c r="D7126" t="s">
        <v>6168</v>
      </c>
    </row>
    <row r="7127" spans="1:4">
      <c r="A7127" t="s">
        <v>12745</v>
      </c>
      <c r="B7127">
        <v>41212</v>
      </c>
      <c r="C7127" t="s">
        <v>6330</v>
      </c>
      <c r="D7127" t="s">
        <v>6168</v>
      </c>
    </row>
    <row r="7128" spans="1:4">
      <c r="A7128" t="s">
        <v>12746</v>
      </c>
      <c r="B7128">
        <v>36210</v>
      </c>
      <c r="C7128" t="s">
        <v>6216</v>
      </c>
      <c r="D7128" t="s">
        <v>6168</v>
      </c>
    </row>
    <row r="7129" spans="1:4">
      <c r="A7129" t="s">
        <v>12747</v>
      </c>
      <c r="B7129">
        <v>43103</v>
      </c>
      <c r="C7129" t="s">
        <v>6330</v>
      </c>
      <c r="D7129" t="s">
        <v>6168</v>
      </c>
    </row>
    <row r="7130" spans="1:4">
      <c r="A7130" t="s">
        <v>12748</v>
      </c>
      <c r="B7130">
        <v>36208</v>
      </c>
      <c r="C7130" t="s">
        <v>9462</v>
      </c>
      <c r="D7130" t="s">
        <v>6168</v>
      </c>
    </row>
    <row r="7131" spans="1:4">
      <c r="A7131" t="s">
        <v>12749</v>
      </c>
      <c r="B7131">
        <v>36209</v>
      </c>
      <c r="C7131" t="s">
        <v>9462</v>
      </c>
      <c r="D7131" t="s">
        <v>6168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12750</v>
      </c>
      <c r="B7133">
        <v>40871</v>
      </c>
      <c r="C7133" t="s">
        <v>776</v>
      </c>
      <c r="D7133" t="s">
        <v>6267</v>
      </c>
    </row>
    <row r="7134" spans="1:4">
      <c r="A7134" t="s">
        <v>12751</v>
      </c>
      <c r="B7134">
        <v>39441</v>
      </c>
      <c r="C7134" t="s">
        <v>776</v>
      </c>
      <c r="D7134" t="s">
        <v>6314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12752</v>
      </c>
      <c r="B7137">
        <v>22365</v>
      </c>
      <c r="C7137" t="s">
        <v>9824</v>
      </c>
      <c r="D7137" t="s">
        <v>6168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12753</v>
      </c>
      <c r="B7139">
        <v>4509</v>
      </c>
      <c r="C7139" t="s">
        <v>12754</v>
      </c>
      <c r="D7139" t="s">
        <v>6168</v>
      </c>
    </row>
    <row r="7140" spans="1:4">
      <c r="A7140" t="s">
        <v>12755</v>
      </c>
      <c r="B7140">
        <v>4510</v>
      </c>
      <c r="C7140" t="s">
        <v>12756</v>
      </c>
      <c r="D7140" t="s">
        <v>6168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12757</v>
      </c>
      <c r="B7142">
        <v>22367</v>
      </c>
      <c r="C7142" t="s">
        <v>6405</v>
      </c>
      <c r="D7142" t="s">
        <v>6168</v>
      </c>
    </row>
    <row r="7143" spans="1:4">
      <c r="A7143" t="s">
        <v>12758</v>
      </c>
      <c r="B7143">
        <v>39504</v>
      </c>
      <c r="C7143" t="s">
        <v>12759</v>
      </c>
      <c r="D7143" t="s">
        <v>12760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12761</v>
      </c>
      <c r="B7145">
        <v>3920</v>
      </c>
      <c r="C7145" t="s">
        <v>12762</v>
      </c>
      <c r="D7145" t="s">
        <v>6168</v>
      </c>
    </row>
    <row r="7146" spans="1:4">
      <c r="A7146" t="s">
        <v>12763</v>
      </c>
      <c r="B7146">
        <v>3921</v>
      </c>
      <c r="C7146" t="s">
        <v>1758</v>
      </c>
      <c r="D7146" t="s">
        <v>6168</v>
      </c>
    </row>
    <row r="7147" spans="1:4">
      <c r="A7147" t="s">
        <v>12764</v>
      </c>
      <c r="B7147">
        <v>3922</v>
      </c>
      <c r="C7147" t="s">
        <v>12765</v>
      </c>
      <c r="D7147" t="s">
        <v>6168</v>
      </c>
    </row>
    <row r="7148" spans="1:4">
      <c r="A7148" t="s">
        <v>12766</v>
      </c>
      <c r="B7148">
        <v>3924</v>
      </c>
      <c r="C7148" t="s">
        <v>12767</v>
      </c>
      <c r="D7148" t="s">
        <v>6168</v>
      </c>
    </row>
    <row r="7149" spans="1:4">
      <c r="A7149" t="s">
        <v>12768</v>
      </c>
      <c r="B7149">
        <v>3923</v>
      </c>
      <c r="C7149" t="s">
        <v>3150</v>
      </c>
      <c r="D7149" t="s">
        <v>6168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12769</v>
      </c>
      <c r="B7152">
        <v>36207</v>
      </c>
      <c r="C7152" t="s">
        <v>12770</v>
      </c>
      <c r="D7152" t="s">
        <v>6168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12771</v>
      </c>
      <c r="B7155">
        <v>40483</v>
      </c>
      <c r="C7155" t="s">
        <v>12772</v>
      </c>
      <c r="D7155" t="s">
        <v>6168</v>
      </c>
    </row>
    <row r="7156" spans="1:4">
      <c r="A7156" t="s">
        <v>12773</v>
      </c>
      <c r="B7156">
        <v>36206</v>
      </c>
      <c r="C7156" t="s">
        <v>12774</v>
      </c>
      <c r="D7156" t="s">
        <v>6168</v>
      </c>
    </row>
    <row r="7157" spans="1:4">
      <c r="A7157" t="s">
        <v>12775</v>
      </c>
      <c r="B7157">
        <v>25774</v>
      </c>
      <c r="C7157" t="s">
        <v>1273</v>
      </c>
      <c r="D7157" t="s">
        <v>6168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12776</v>
      </c>
      <c r="B7159">
        <v>22369</v>
      </c>
      <c r="C7159" t="s">
        <v>10044</v>
      </c>
      <c r="D7159" t="s">
        <v>6168</v>
      </c>
    </row>
    <row r="7160" spans="1:4">
      <c r="A7160" t="s">
        <v>17006</v>
      </c>
      <c r="B7160">
        <v>44267</v>
      </c>
      <c r="C7160" t="s">
        <v>5901</v>
      </c>
      <c r="D7160" t="s">
        <v>123</v>
      </c>
    </row>
    <row r="7161" spans="1:4">
      <c r="A7161" t="s">
        <v>17035</v>
      </c>
      <c r="B7161">
        <v>44290</v>
      </c>
      <c r="C7161" t="s">
        <v>17036</v>
      </c>
      <c r="D7161" t="s">
        <v>6168</v>
      </c>
    </row>
    <row r="7162" spans="1:4">
      <c r="A7162" t="s">
        <v>17037</v>
      </c>
      <c r="B7162">
        <v>44291</v>
      </c>
      <c r="C7162" t="s">
        <v>5901</v>
      </c>
      <c r="D7162" t="s">
        <v>6168</v>
      </c>
    </row>
    <row r="7163" spans="1:4">
      <c r="A7163" t="s">
        <v>17007</v>
      </c>
      <c r="B7163">
        <v>44268</v>
      </c>
      <c r="C7163" t="s">
        <v>17008</v>
      </c>
      <c r="D7163" t="s">
        <v>123</v>
      </c>
    </row>
    <row r="7164" spans="1:4">
      <c r="A7164" t="s">
        <v>17038</v>
      </c>
      <c r="B7164">
        <v>44292</v>
      </c>
      <c r="C7164" t="s">
        <v>14891</v>
      </c>
      <c r="D7164" t="s">
        <v>6168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12777</v>
      </c>
      <c r="B7166">
        <v>22370</v>
      </c>
      <c r="C7166" t="s">
        <v>264</v>
      </c>
      <c r="D7166" t="s">
        <v>6267</v>
      </c>
    </row>
    <row r="7167" spans="1:4">
      <c r="A7167" t="s">
        <v>12778</v>
      </c>
      <c r="B7167">
        <v>22371</v>
      </c>
      <c r="C7167" t="s">
        <v>264</v>
      </c>
      <c r="D7167" t="s">
        <v>6314</v>
      </c>
    </row>
    <row r="7168" spans="1:4">
      <c r="A7168" t="s">
        <v>12779</v>
      </c>
      <c r="B7168">
        <v>34968</v>
      </c>
      <c r="C7168" t="s">
        <v>12780</v>
      </c>
      <c r="D7168" t="s">
        <v>6267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12781</v>
      </c>
      <c r="B7170">
        <v>36205</v>
      </c>
      <c r="C7170" t="s">
        <v>8484</v>
      </c>
      <c r="D7170" t="s">
        <v>6168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12782</v>
      </c>
      <c r="B7173">
        <v>20718</v>
      </c>
      <c r="D7173" t="s">
        <v>6314</v>
      </c>
    </row>
    <row r="7174" spans="1:4">
      <c r="A7174" t="s">
        <v>16748</v>
      </c>
      <c r="B7174">
        <v>43322</v>
      </c>
      <c r="D7174" t="s">
        <v>6292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12783</v>
      </c>
      <c r="B7176">
        <v>23822</v>
      </c>
      <c r="C7176" t="s">
        <v>12784</v>
      </c>
      <c r="D7176" t="s">
        <v>6168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12785</v>
      </c>
      <c r="B7178">
        <v>3073</v>
      </c>
      <c r="C7178" t="s">
        <v>6535</v>
      </c>
      <c r="D7178" t="s">
        <v>6168</v>
      </c>
    </row>
    <row r="7179" spans="1:4">
      <c r="A7179" t="s">
        <v>12786</v>
      </c>
      <c r="B7179">
        <v>19287</v>
      </c>
      <c r="C7179" t="s">
        <v>12787</v>
      </c>
      <c r="D7179" t="s">
        <v>6168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12788</v>
      </c>
      <c r="B7181">
        <v>23487</v>
      </c>
      <c r="C7181" t="s">
        <v>636</v>
      </c>
      <c r="D7181" t="s">
        <v>6168</v>
      </c>
    </row>
    <row r="7182" spans="1:4">
      <c r="A7182" t="s">
        <v>12789</v>
      </c>
      <c r="B7182">
        <v>40482</v>
      </c>
      <c r="C7182" t="s">
        <v>12790</v>
      </c>
      <c r="D7182" t="s">
        <v>6168</v>
      </c>
    </row>
    <row r="7183" spans="1:4">
      <c r="A7183" t="s">
        <v>12791</v>
      </c>
      <c r="B7183">
        <v>25499</v>
      </c>
      <c r="C7183" t="s">
        <v>2374</v>
      </c>
      <c r="D7183" t="s">
        <v>6168</v>
      </c>
    </row>
    <row r="7184" spans="1:4">
      <c r="A7184" t="s">
        <v>12792</v>
      </c>
      <c r="B7184">
        <v>22373</v>
      </c>
      <c r="C7184" t="s">
        <v>6178</v>
      </c>
      <c r="D7184" t="s">
        <v>6168</v>
      </c>
    </row>
    <row r="7185" spans="1:4">
      <c r="A7185" t="s">
        <v>12793</v>
      </c>
      <c r="B7185">
        <v>35619</v>
      </c>
      <c r="C7185" t="s">
        <v>10072</v>
      </c>
      <c r="D7185" t="s">
        <v>6168</v>
      </c>
    </row>
    <row r="7186" spans="1:4">
      <c r="A7186" t="s">
        <v>17463</v>
      </c>
      <c r="B7186">
        <v>45753</v>
      </c>
      <c r="C7186" t="s">
        <v>2811</v>
      </c>
      <c r="D7186" t="s">
        <v>123</v>
      </c>
    </row>
    <row r="7187" spans="1:4">
      <c r="A7187" t="s">
        <v>17533</v>
      </c>
      <c r="B7187">
        <v>45951</v>
      </c>
      <c r="C7187" t="s">
        <v>6546</v>
      </c>
      <c r="D7187" t="s">
        <v>6168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12794</v>
      </c>
      <c r="B7189">
        <v>41588</v>
      </c>
      <c r="C7189" t="s">
        <v>2333</v>
      </c>
      <c r="D7189" t="s">
        <v>6267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12795</v>
      </c>
      <c r="B7191">
        <v>4215</v>
      </c>
      <c r="C7191" t="s">
        <v>1273</v>
      </c>
      <c r="D7191" t="s">
        <v>6168</v>
      </c>
    </row>
    <row r="7192" spans="1:4">
      <c r="A7192" t="s">
        <v>12796</v>
      </c>
      <c r="B7192">
        <v>34047</v>
      </c>
      <c r="C7192" t="s">
        <v>1273</v>
      </c>
      <c r="D7192" t="s">
        <v>6168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6248</v>
      </c>
    </row>
    <row r="7196" spans="1:4">
      <c r="A7196" t="s">
        <v>12797</v>
      </c>
      <c r="B7196">
        <v>29801</v>
      </c>
      <c r="C7196" t="s">
        <v>261</v>
      </c>
      <c r="D7196" t="s">
        <v>6248</v>
      </c>
    </row>
    <row r="7197" spans="1:4">
      <c r="A7197" t="s">
        <v>12798</v>
      </c>
      <c r="B7197">
        <v>30460</v>
      </c>
      <c r="C7197" t="s">
        <v>12799</v>
      </c>
      <c r="D7197" t="s">
        <v>6168</v>
      </c>
    </row>
    <row r="7198" spans="1:4">
      <c r="A7198" t="s">
        <v>12800</v>
      </c>
      <c r="B7198">
        <v>29890</v>
      </c>
      <c r="C7198" t="s">
        <v>6934</v>
      </c>
      <c r="D7198" t="s">
        <v>6168</v>
      </c>
    </row>
    <row r="7199" spans="1:4">
      <c r="A7199" t="s">
        <v>12801</v>
      </c>
      <c r="B7199">
        <v>30450</v>
      </c>
      <c r="C7199" t="s">
        <v>261</v>
      </c>
      <c r="D7199" t="s">
        <v>6248</v>
      </c>
    </row>
    <row r="7200" spans="1:4">
      <c r="A7200" t="s">
        <v>12802</v>
      </c>
      <c r="B7200">
        <v>30690</v>
      </c>
      <c r="C7200" t="s">
        <v>6409</v>
      </c>
      <c r="D7200" t="s">
        <v>6168</v>
      </c>
    </row>
    <row r="7201" spans="1:4">
      <c r="A7201" t="s">
        <v>12803</v>
      </c>
      <c r="B7201">
        <v>39771</v>
      </c>
      <c r="C7201" t="s">
        <v>12804</v>
      </c>
      <c r="D7201" t="s">
        <v>6168</v>
      </c>
    </row>
    <row r="7202" spans="1:4">
      <c r="A7202" t="s">
        <v>12805</v>
      </c>
      <c r="B7202">
        <v>30692</v>
      </c>
      <c r="C7202" t="s">
        <v>6409</v>
      </c>
      <c r="D7202" t="s">
        <v>6168</v>
      </c>
    </row>
    <row r="7203" spans="1:4">
      <c r="A7203" t="s">
        <v>17584</v>
      </c>
      <c r="B7203">
        <v>46864</v>
      </c>
      <c r="C7203" t="s">
        <v>17585</v>
      </c>
      <c r="D7203" t="s">
        <v>6168</v>
      </c>
    </row>
    <row r="7204" spans="1:4">
      <c r="A7204" t="s">
        <v>12806</v>
      </c>
      <c r="B7204">
        <v>29804</v>
      </c>
      <c r="C7204" t="s">
        <v>12807</v>
      </c>
      <c r="D7204" t="s">
        <v>6168</v>
      </c>
    </row>
    <row r="7205" spans="1:4">
      <c r="A7205" t="s">
        <v>12808</v>
      </c>
      <c r="B7205">
        <v>29811</v>
      </c>
      <c r="C7205" t="s">
        <v>6409</v>
      </c>
      <c r="D7205" t="s">
        <v>6168</v>
      </c>
    </row>
    <row r="7206" spans="1:4">
      <c r="A7206" t="s">
        <v>12809</v>
      </c>
      <c r="B7206">
        <v>29775</v>
      </c>
      <c r="C7206" t="s">
        <v>12810</v>
      </c>
      <c r="D7206" t="s">
        <v>6168</v>
      </c>
    </row>
    <row r="7207" spans="1:4">
      <c r="A7207" t="s">
        <v>12811</v>
      </c>
      <c r="B7207">
        <v>31175</v>
      </c>
      <c r="C7207" t="s">
        <v>6934</v>
      </c>
      <c r="D7207" t="s">
        <v>6168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12812</v>
      </c>
      <c r="B7209">
        <v>29355</v>
      </c>
      <c r="C7209" t="s">
        <v>12813</v>
      </c>
      <c r="D7209" t="s">
        <v>6230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12814</v>
      </c>
      <c r="B7211">
        <v>41685</v>
      </c>
      <c r="C7211" t="s">
        <v>6546</v>
      </c>
      <c r="D7211" t="s">
        <v>6168</v>
      </c>
    </row>
    <row r="7212" spans="1:4">
      <c r="A7212" t="s">
        <v>17464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12815</v>
      </c>
      <c r="B7214">
        <v>23273</v>
      </c>
      <c r="C7214" t="s">
        <v>2939</v>
      </c>
      <c r="D7214" t="s">
        <v>6230</v>
      </c>
    </row>
    <row r="7215" spans="1:4">
      <c r="A7215" t="s">
        <v>12816</v>
      </c>
      <c r="B7215">
        <v>30479</v>
      </c>
      <c r="C7215" t="s">
        <v>12817</v>
      </c>
      <c r="D7215" t="s">
        <v>6241</v>
      </c>
    </row>
    <row r="7216" spans="1:4">
      <c r="A7216" t="s">
        <v>12818</v>
      </c>
      <c r="B7216">
        <v>30563</v>
      </c>
      <c r="C7216" t="s">
        <v>12817</v>
      </c>
      <c r="D7216" t="s">
        <v>6245</v>
      </c>
    </row>
    <row r="7217" spans="1:4">
      <c r="A7217" t="s">
        <v>12819</v>
      </c>
      <c r="B7217">
        <v>4378</v>
      </c>
      <c r="C7217" t="s">
        <v>12817</v>
      </c>
      <c r="D7217" t="s">
        <v>6245</v>
      </c>
    </row>
    <row r="7218" spans="1:4">
      <c r="A7218" t="s">
        <v>12820</v>
      </c>
      <c r="B7218">
        <v>4213</v>
      </c>
      <c r="C7218" t="s">
        <v>12821</v>
      </c>
      <c r="D7218" t="s">
        <v>6245</v>
      </c>
    </row>
    <row r="7219" spans="1:4">
      <c r="A7219" t="s">
        <v>12822</v>
      </c>
      <c r="B7219">
        <v>23824</v>
      </c>
      <c r="C7219" t="s">
        <v>2310</v>
      </c>
      <c r="D7219" t="s">
        <v>6314</v>
      </c>
    </row>
    <row r="7220" spans="1:4">
      <c r="A7220" t="s">
        <v>12823</v>
      </c>
      <c r="B7220">
        <v>38340</v>
      </c>
      <c r="D7220" t="s">
        <v>6245</v>
      </c>
    </row>
    <row r="7221" spans="1:4">
      <c r="A7221" t="s">
        <v>16993</v>
      </c>
      <c r="B7221">
        <v>44246</v>
      </c>
      <c r="C7221" t="s">
        <v>16994</v>
      </c>
      <c r="D7221" t="s">
        <v>6230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12824</v>
      </c>
      <c r="B7224">
        <v>31782</v>
      </c>
      <c r="C7224" t="s">
        <v>7392</v>
      </c>
      <c r="D7224" t="s">
        <v>6168</v>
      </c>
    </row>
    <row r="7225" spans="1:4">
      <c r="A7225" t="s">
        <v>12825</v>
      </c>
      <c r="B7225">
        <v>29441</v>
      </c>
      <c r="C7225" t="s">
        <v>12826</v>
      </c>
      <c r="D7225" t="s">
        <v>6168</v>
      </c>
    </row>
    <row r="7226" spans="1:4">
      <c r="A7226" t="s">
        <v>12827</v>
      </c>
      <c r="B7226">
        <v>42083</v>
      </c>
      <c r="C7226" t="s">
        <v>12828</v>
      </c>
      <c r="D7226" t="s">
        <v>6168</v>
      </c>
    </row>
    <row r="7227" spans="1:4">
      <c r="A7227" t="s">
        <v>12829</v>
      </c>
      <c r="B7227">
        <v>26175</v>
      </c>
      <c r="C7227" t="s">
        <v>6190</v>
      </c>
      <c r="D7227" t="s">
        <v>6168</v>
      </c>
    </row>
    <row r="7228" spans="1:4">
      <c r="A7228" t="s">
        <v>12830</v>
      </c>
      <c r="B7228">
        <v>30644</v>
      </c>
      <c r="C7228" t="s">
        <v>12831</v>
      </c>
      <c r="D7228" t="s">
        <v>6168</v>
      </c>
    </row>
    <row r="7229" spans="1:4">
      <c r="A7229" t="s">
        <v>12832</v>
      </c>
      <c r="B7229">
        <v>30453</v>
      </c>
      <c r="C7229" t="s">
        <v>12833</v>
      </c>
      <c r="D7229" t="s">
        <v>6168</v>
      </c>
    </row>
    <row r="7230" spans="1:4">
      <c r="A7230" t="s">
        <v>12834</v>
      </c>
      <c r="B7230">
        <v>39705</v>
      </c>
      <c r="C7230" t="s">
        <v>12835</v>
      </c>
      <c r="D7230" t="s">
        <v>6168</v>
      </c>
    </row>
    <row r="7231" spans="1:4">
      <c r="A7231" t="s">
        <v>12836</v>
      </c>
      <c r="B7231">
        <v>29723</v>
      </c>
      <c r="D7231" t="s">
        <v>7283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12837</v>
      </c>
      <c r="B7233">
        <v>31370</v>
      </c>
      <c r="C7233" t="s">
        <v>12838</v>
      </c>
      <c r="D7233" t="s">
        <v>6168</v>
      </c>
    </row>
    <row r="7234" spans="1:4">
      <c r="A7234" t="s">
        <v>12839</v>
      </c>
      <c r="B7234">
        <v>24768</v>
      </c>
      <c r="C7234" t="s">
        <v>626</v>
      </c>
      <c r="D7234" t="s">
        <v>6168</v>
      </c>
    </row>
    <row r="7235" spans="1:4">
      <c r="A7235" t="s">
        <v>12840</v>
      </c>
      <c r="B7235">
        <v>25701</v>
      </c>
      <c r="C7235" t="s">
        <v>12841</v>
      </c>
      <c r="D7235" t="s">
        <v>6168</v>
      </c>
    </row>
    <row r="7236" spans="1:4">
      <c r="A7236" t="s">
        <v>12842</v>
      </c>
      <c r="B7236">
        <v>42084</v>
      </c>
      <c r="C7236" t="s">
        <v>12843</v>
      </c>
      <c r="D7236" t="s">
        <v>6168</v>
      </c>
    </row>
    <row r="7237" spans="1:4">
      <c r="A7237" t="s">
        <v>12844</v>
      </c>
      <c r="B7237">
        <v>29409</v>
      </c>
      <c r="C7237" t="s">
        <v>3122</v>
      </c>
      <c r="D7237" t="s">
        <v>6168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12845</v>
      </c>
      <c r="B7241">
        <v>23825</v>
      </c>
      <c r="C7241" t="s">
        <v>6194</v>
      </c>
      <c r="D7241" t="s">
        <v>6168</v>
      </c>
    </row>
    <row r="7242" spans="1:4">
      <c r="A7242" t="s">
        <v>12846</v>
      </c>
      <c r="B7242">
        <v>39467</v>
      </c>
      <c r="C7242" t="s">
        <v>12847</v>
      </c>
      <c r="D7242" t="s">
        <v>6267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12848</v>
      </c>
      <c r="B7245">
        <v>29535</v>
      </c>
      <c r="C7245" t="s">
        <v>6914</v>
      </c>
      <c r="D7245" t="s">
        <v>6168</v>
      </c>
    </row>
    <row r="7246" spans="1:4">
      <c r="A7246" t="s">
        <v>12849</v>
      </c>
      <c r="B7246">
        <v>4323</v>
      </c>
      <c r="C7246" t="s">
        <v>12850</v>
      </c>
      <c r="D7246" t="s">
        <v>6245</v>
      </c>
    </row>
    <row r="7247" spans="1:4">
      <c r="A7247" t="s">
        <v>12851</v>
      </c>
      <c r="B7247">
        <v>4073</v>
      </c>
      <c r="C7247" t="s">
        <v>2329</v>
      </c>
      <c r="D7247" t="s">
        <v>6245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12852</v>
      </c>
      <c r="B7250">
        <v>4345</v>
      </c>
      <c r="C7250" t="s">
        <v>12853</v>
      </c>
      <c r="D7250" t="s">
        <v>6168</v>
      </c>
    </row>
    <row r="7251" spans="1:4">
      <c r="A7251" t="s">
        <v>12854</v>
      </c>
      <c r="B7251">
        <v>4346</v>
      </c>
      <c r="C7251" t="s">
        <v>3921</v>
      </c>
      <c r="D7251" t="s">
        <v>6248</v>
      </c>
    </row>
    <row r="7252" spans="1:4">
      <c r="A7252" t="s">
        <v>12855</v>
      </c>
      <c r="B7252">
        <v>23517</v>
      </c>
      <c r="C7252" t="s">
        <v>2329</v>
      </c>
      <c r="D7252" t="s">
        <v>6267</v>
      </c>
    </row>
    <row r="7253" spans="1:4">
      <c r="A7253" t="s">
        <v>12856</v>
      </c>
      <c r="B7253">
        <v>23826</v>
      </c>
      <c r="C7253" t="s">
        <v>11634</v>
      </c>
      <c r="D7253" t="s">
        <v>6305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12857</v>
      </c>
      <c r="B7255">
        <v>30599</v>
      </c>
      <c r="C7255" t="s">
        <v>12858</v>
      </c>
      <c r="D7255" t="s">
        <v>6168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12859</v>
      </c>
      <c r="B7257">
        <v>2351</v>
      </c>
      <c r="C7257" t="s">
        <v>6533</v>
      </c>
      <c r="D7257" t="s">
        <v>6168</v>
      </c>
    </row>
    <row r="7258" spans="1:4">
      <c r="A7258" t="s">
        <v>12860</v>
      </c>
      <c r="B7258">
        <v>31750</v>
      </c>
      <c r="C7258" t="s">
        <v>6533</v>
      </c>
      <c r="D7258" t="s">
        <v>6168</v>
      </c>
    </row>
    <row r="7259" spans="1:4">
      <c r="A7259" t="s">
        <v>12861</v>
      </c>
      <c r="B7259">
        <v>2352</v>
      </c>
      <c r="C7259" t="s">
        <v>6417</v>
      </c>
      <c r="D7259" t="s">
        <v>6168</v>
      </c>
    </row>
    <row r="7260" spans="1:4">
      <c r="A7260" t="s">
        <v>12862</v>
      </c>
      <c r="B7260">
        <v>2353</v>
      </c>
      <c r="C7260" t="s">
        <v>2018</v>
      </c>
      <c r="D7260" t="s">
        <v>6168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12863</v>
      </c>
      <c r="B7262">
        <v>30420</v>
      </c>
      <c r="C7262" t="s">
        <v>3113</v>
      </c>
      <c r="D7262" t="s">
        <v>6168</v>
      </c>
    </row>
    <row r="7263" spans="1:4">
      <c r="A7263" t="s">
        <v>12864</v>
      </c>
      <c r="B7263">
        <v>30394</v>
      </c>
      <c r="C7263" t="s">
        <v>12865</v>
      </c>
      <c r="D7263" t="s">
        <v>6168</v>
      </c>
    </row>
    <row r="7264" spans="1:4">
      <c r="A7264" t="s">
        <v>12866</v>
      </c>
      <c r="B7264">
        <v>35232</v>
      </c>
      <c r="C7264" t="s">
        <v>3113</v>
      </c>
      <c r="D7264" t="s">
        <v>6168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12867</v>
      </c>
      <c r="B7266">
        <v>22375</v>
      </c>
      <c r="C7266" t="s">
        <v>9033</v>
      </c>
      <c r="D7266" t="s">
        <v>6168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17573</v>
      </c>
      <c r="B7268">
        <v>46845</v>
      </c>
      <c r="C7268" t="s">
        <v>17574</v>
      </c>
      <c r="D7268" t="s">
        <v>6168</v>
      </c>
    </row>
    <row r="7269" spans="1:4">
      <c r="A7269" t="s">
        <v>17306</v>
      </c>
      <c r="B7269">
        <v>45395</v>
      </c>
      <c r="C7269" t="s">
        <v>7271</v>
      </c>
      <c r="D7269" t="s">
        <v>6168</v>
      </c>
    </row>
    <row r="7270" spans="1:4">
      <c r="A7270" t="s">
        <v>12868</v>
      </c>
      <c r="B7270">
        <v>23827</v>
      </c>
      <c r="C7270" t="s">
        <v>3161</v>
      </c>
      <c r="D7270" t="s">
        <v>6168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12869</v>
      </c>
      <c r="B7272">
        <v>4217</v>
      </c>
      <c r="C7272" t="s">
        <v>8753</v>
      </c>
      <c r="D7272" t="s">
        <v>6245</v>
      </c>
    </row>
    <row r="7273" spans="1:4">
      <c r="A7273" t="s">
        <v>12870</v>
      </c>
      <c r="B7273">
        <v>22376</v>
      </c>
      <c r="C7273" t="s">
        <v>264</v>
      </c>
      <c r="D7273" t="s">
        <v>6314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12871</v>
      </c>
      <c r="B7275">
        <v>22378</v>
      </c>
      <c r="C7275" t="s">
        <v>8591</v>
      </c>
      <c r="D7275" t="s">
        <v>6168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12872</v>
      </c>
      <c r="B7277">
        <v>3432</v>
      </c>
      <c r="C7277" t="s">
        <v>1273</v>
      </c>
      <c r="D7277" t="s">
        <v>6168</v>
      </c>
    </row>
    <row r="7278" spans="1:4">
      <c r="A7278" t="s">
        <v>12873</v>
      </c>
      <c r="B7278">
        <v>3434</v>
      </c>
      <c r="C7278" t="s">
        <v>13992</v>
      </c>
      <c r="D7278" t="s">
        <v>6168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12874</v>
      </c>
      <c r="B7280">
        <v>1008</v>
      </c>
      <c r="C7280" t="s">
        <v>6535</v>
      </c>
      <c r="D7280" t="s">
        <v>6168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12875</v>
      </c>
      <c r="B7282">
        <v>23828</v>
      </c>
      <c r="C7282" t="s">
        <v>6190</v>
      </c>
      <c r="D7282" t="s">
        <v>6168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12876</v>
      </c>
      <c r="B7284">
        <v>30496</v>
      </c>
      <c r="C7284" t="s">
        <v>3432</v>
      </c>
      <c r="D7284" t="s">
        <v>6248</v>
      </c>
    </row>
    <row r="7285" spans="1:4">
      <c r="A7285" t="s">
        <v>12877</v>
      </c>
      <c r="B7285">
        <v>30694</v>
      </c>
      <c r="C7285" t="s">
        <v>6409</v>
      </c>
      <c r="D7285" t="s">
        <v>6168</v>
      </c>
    </row>
    <row r="7286" spans="1:4">
      <c r="A7286" t="s">
        <v>12878</v>
      </c>
      <c r="B7286">
        <v>30697</v>
      </c>
      <c r="C7286" t="s">
        <v>8468</v>
      </c>
      <c r="D7286" t="s">
        <v>6168</v>
      </c>
    </row>
    <row r="7287" spans="1:4">
      <c r="A7287" t="s">
        <v>12879</v>
      </c>
      <c r="B7287">
        <v>30699</v>
      </c>
      <c r="C7287" t="s">
        <v>12799</v>
      </c>
      <c r="D7287" t="s">
        <v>6168</v>
      </c>
    </row>
    <row r="7288" spans="1:4">
      <c r="A7288" t="s">
        <v>12880</v>
      </c>
      <c r="B7288">
        <v>31156</v>
      </c>
      <c r="C7288" t="s">
        <v>8468</v>
      </c>
      <c r="D7288" t="s">
        <v>6168</v>
      </c>
    </row>
    <row r="7289" spans="1:4">
      <c r="A7289" t="s">
        <v>12881</v>
      </c>
      <c r="B7289">
        <v>29790</v>
      </c>
      <c r="C7289" t="s">
        <v>12799</v>
      </c>
      <c r="D7289" t="s">
        <v>6168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12882</v>
      </c>
      <c r="B7291">
        <v>29238</v>
      </c>
      <c r="C7291" t="s">
        <v>12813</v>
      </c>
      <c r="D7291" t="s">
        <v>6230</v>
      </c>
    </row>
    <row r="7292" spans="1:4">
      <c r="A7292" t="s">
        <v>12883</v>
      </c>
      <c r="B7292">
        <v>20400</v>
      </c>
      <c r="D7292" t="s">
        <v>6230</v>
      </c>
    </row>
    <row r="7293" spans="1:4">
      <c r="A7293" t="s">
        <v>12884</v>
      </c>
      <c r="B7293">
        <v>25740</v>
      </c>
      <c r="D7293" t="s">
        <v>6168</v>
      </c>
    </row>
    <row r="7294" spans="1:4">
      <c r="A7294" t="s">
        <v>17075</v>
      </c>
      <c r="B7294">
        <v>44332</v>
      </c>
      <c r="C7294" t="s">
        <v>17076</v>
      </c>
      <c r="D7294" t="s">
        <v>134</v>
      </c>
    </row>
    <row r="7295" spans="1:4">
      <c r="A7295" t="s">
        <v>12885</v>
      </c>
      <c r="B7295">
        <v>22379</v>
      </c>
      <c r="C7295" t="s">
        <v>12886</v>
      </c>
      <c r="D7295" t="s">
        <v>6230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6267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12887</v>
      </c>
      <c r="B7299">
        <v>23829</v>
      </c>
      <c r="C7299" t="s">
        <v>8405</v>
      </c>
      <c r="D7299" t="s">
        <v>6168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12888</v>
      </c>
      <c r="B7301">
        <v>19309</v>
      </c>
      <c r="C7301" t="s">
        <v>12889</v>
      </c>
      <c r="D7301" t="s">
        <v>6168</v>
      </c>
    </row>
    <row r="7302" spans="1:4">
      <c r="A7302" t="s">
        <v>12890</v>
      </c>
      <c r="B7302">
        <v>9844</v>
      </c>
      <c r="C7302" t="s">
        <v>4862</v>
      </c>
      <c r="D7302" t="s">
        <v>6168</v>
      </c>
    </row>
    <row r="7303" spans="1:4">
      <c r="A7303" t="s">
        <v>12891</v>
      </c>
      <c r="B7303">
        <v>20374</v>
      </c>
      <c r="C7303" t="s">
        <v>12892</v>
      </c>
      <c r="D7303" t="s">
        <v>6168</v>
      </c>
    </row>
    <row r="7304" spans="1:4">
      <c r="A7304" t="s">
        <v>12893</v>
      </c>
      <c r="B7304">
        <v>19310</v>
      </c>
      <c r="C7304" t="s">
        <v>12894</v>
      </c>
      <c r="D7304" t="s">
        <v>6168</v>
      </c>
    </row>
    <row r="7305" spans="1:4">
      <c r="A7305" t="s">
        <v>12895</v>
      </c>
      <c r="B7305">
        <v>19312</v>
      </c>
      <c r="D7305" t="s">
        <v>6168</v>
      </c>
    </row>
    <row r="7306" spans="1:4">
      <c r="A7306" t="s">
        <v>12896</v>
      </c>
      <c r="B7306">
        <v>9843</v>
      </c>
      <c r="C7306" t="s">
        <v>12897</v>
      </c>
      <c r="D7306" t="s">
        <v>6168</v>
      </c>
    </row>
    <row r="7307" spans="1:4">
      <c r="A7307" t="s">
        <v>12898</v>
      </c>
      <c r="B7307">
        <v>19311</v>
      </c>
      <c r="C7307" t="s">
        <v>4862</v>
      </c>
      <c r="D7307" t="s">
        <v>6168</v>
      </c>
    </row>
    <row r="7308" spans="1:4">
      <c r="A7308" t="s">
        <v>12899</v>
      </c>
      <c r="B7308">
        <v>26117</v>
      </c>
      <c r="D7308" t="s">
        <v>6168</v>
      </c>
    </row>
    <row r="7309" spans="1:4">
      <c r="A7309" t="s">
        <v>12900</v>
      </c>
      <c r="B7309">
        <v>25801</v>
      </c>
      <c r="C7309" t="s">
        <v>12901</v>
      </c>
      <c r="D7309" t="s">
        <v>6168</v>
      </c>
    </row>
    <row r="7310" spans="1:4">
      <c r="A7310" t="s">
        <v>12902</v>
      </c>
      <c r="B7310">
        <v>19326</v>
      </c>
      <c r="C7310" t="s">
        <v>12897</v>
      </c>
      <c r="D7310" t="s">
        <v>6168</v>
      </c>
    </row>
    <row r="7311" spans="1:4">
      <c r="A7311" t="s">
        <v>12903</v>
      </c>
      <c r="B7311">
        <v>19324</v>
      </c>
      <c r="C7311" t="s">
        <v>12897</v>
      </c>
      <c r="D7311" t="s">
        <v>6168</v>
      </c>
    </row>
    <row r="7312" spans="1:4">
      <c r="A7312" t="s">
        <v>12904</v>
      </c>
      <c r="B7312">
        <v>19313</v>
      </c>
      <c r="C7312" t="s">
        <v>12897</v>
      </c>
      <c r="D7312" t="s">
        <v>6168</v>
      </c>
    </row>
    <row r="7313" spans="1:4">
      <c r="A7313" t="s">
        <v>12905</v>
      </c>
      <c r="B7313">
        <v>2998</v>
      </c>
      <c r="C7313" t="s">
        <v>12897</v>
      </c>
      <c r="D7313" t="s">
        <v>6168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12906</v>
      </c>
      <c r="B7316">
        <v>35717</v>
      </c>
      <c r="C7316" t="s">
        <v>12907</v>
      </c>
      <c r="D7316" t="s">
        <v>6168</v>
      </c>
    </row>
    <row r="7317" spans="1:4">
      <c r="A7317" t="s">
        <v>12908</v>
      </c>
      <c r="B7317">
        <v>35716</v>
      </c>
      <c r="C7317" t="s">
        <v>12909</v>
      </c>
      <c r="D7317" t="s">
        <v>6168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12910</v>
      </c>
      <c r="B7319">
        <v>22381</v>
      </c>
      <c r="C7319" t="s">
        <v>10312</v>
      </c>
      <c r="D7319" t="s">
        <v>6168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12911</v>
      </c>
      <c r="B7321">
        <v>24770</v>
      </c>
      <c r="C7321" t="s">
        <v>12912</v>
      </c>
      <c r="D7321" t="s">
        <v>6168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12913</v>
      </c>
      <c r="B7324">
        <v>4512</v>
      </c>
      <c r="C7324" t="s">
        <v>12914</v>
      </c>
      <c r="D7324" t="s">
        <v>6168</v>
      </c>
    </row>
    <row r="7325" spans="1:4">
      <c r="A7325" t="s">
        <v>12915</v>
      </c>
      <c r="B7325">
        <v>23830</v>
      </c>
      <c r="C7325" t="s">
        <v>2434</v>
      </c>
      <c r="D7325" t="s">
        <v>6245</v>
      </c>
    </row>
    <row r="7326" spans="1:4">
      <c r="A7326" t="s">
        <v>12916</v>
      </c>
      <c r="B7326">
        <v>4521</v>
      </c>
      <c r="D7326" t="s">
        <v>6230</v>
      </c>
    </row>
    <row r="7327" spans="1:4">
      <c r="A7327" t="s">
        <v>16825</v>
      </c>
      <c r="B7327">
        <v>43865</v>
      </c>
      <c r="C7327" t="s">
        <v>16826</v>
      </c>
      <c r="D7327" t="s">
        <v>123</v>
      </c>
    </row>
    <row r="7328" spans="1:4">
      <c r="A7328" t="s">
        <v>12917</v>
      </c>
      <c r="B7328">
        <v>20558</v>
      </c>
      <c r="C7328" t="s">
        <v>15798</v>
      </c>
      <c r="D7328" t="s">
        <v>6168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12918</v>
      </c>
      <c r="B7330">
        <v>39448</v>
      </c>
      <c r="C7330" t="s">
        <v>12919</v>
      </c>
      <c r="D7330" t="s">
        <v>6267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12920</v>
      </c>
      <c r="B7332">
        <v>35304</v>
      </c>
      <c r="C7332" t="s">
        <v>12921</v>
      </c>
      <c r="D7332" t="s">
        <v>6168</v>
      </c>
    </row>
    <row r="7333" spans="1:4">
      <c r="A7333" t="s">
        <v>12922</v>
      </c>
      <c r="B7333">
        <v>24228</v>
      </c>
      <c r="C7333" t="s">
        <v>6583</v>
      </c>
      <c r="D7333" t="s">
        <v>6168</v>
      </c>
    </row>
    <row r="7334" spans="1:4">
      <c r="A7334" t="s">
        <v>12923</v>
      </c>
      <c r="B7334">
        <v>42787</v>
      </c>
      <c r="C7334" t="s">
        <v>12924</v>
      </c>
      <c r="D7334" t="s">
        <v>6168</v>
      </c>
    </row>
    <row r="7335" spans="1:4">
      <c r="A7335" t="s">
        <v>12925</v>
      </c>
      <c r="B7335">
        <v>41219</v>
      </c>
      <c r="C7335" t="s">
        <v>8477</v>
      </c>
      <c r="D7335" t="s">
        <v>6168</v>
      </c>
    </row>
    <row r="7336" spans="1:4">
      <c r="A7336" t="s">
        <v>12926</v>
      </c>
      <c r="B7336">
        <v>35305</v>
      </c>
      <c r="C7336" t="s">
        <v>9669</v>
      </c>
      <c r="D7336" t="s">
        <v>6168</v>
      </c>
    </row>
    <row r="7337" spans="1:4">
      <c r="A7337" t="s">
        <v>12927</v>
      </c>
      <c r="B7337">
        <v>24229</v>
      </c>
      <c r="C7337" t="s">
        <v>12928</v>
      </c>
      <c r="D7337" t="s">
        <v>6168</v>
      </c>
    </row>
    <row r="7338" spans="1:4">
      <c r="A7338" t="s">
        <v>12929</v>
      </c>
      <c r="B7338">
        <v>40480</v>
      </c>
      <c r="C7338" t="s">
        <v>12930</v>
      </c>
      <c r="D7338" t="s">
        <v>6168</v>
      </c>
    </row>
    <row r="7339" spans="1:4">
      <c r="A7339" t="s">
        <v>12931</v>
      </c>
      <c r="B7339">
        <v>35306</v>
      </c>
      <c r="C7339" t="s">
        <v>4950</v>
      </c>
      <c r="D7339" t="s">
        <v>6168</v>
      </c>
    </row>
    <row r="7340" spans="1:4">
      <c r="A7340" t="s">
        <v>12932</v>
      </c>
      <c r="B7340">
        <v>31364</v>
      </c>
      <c r="C7340" t="s">
        <v>12933</v>
      </c>
      <c r="D7340" t="s">
        <v>6168</v>
      </c>
    </row>
    <row r="7341" spans="1:4">
      <c r="A7341" t="s">
        <v>12934</v>
      </c>
      <c r="B7341">
        <v>24230</v>
      </c>
      <c r="C7341" t="s">
        <v>8314</v>
      </c>
      <c r="D7341" t="s">
        <v>6168</v>
      </c>
    </row>
    <row r="7342" spans="1:4">
      <c r="A7342" t="s">
        <v>12935</v>
      </c>
      <c r="B7342">
        <v>29274</v>
      </c>
      <c r="C7342" t="s">
        <v>12936</v>
      </c>
      <c r="D7342" t="s">
        <v>6168</v>
      </c>
    </row>
    <row r="7343" spans="1:4">
      <c r="A7343" t="s">
        <v>12937</v>
      </c>
      <c r="B7343">
        <v>24231</v>
      </c>
      <c r="C7343" t="s">
        <v>4950</v>
      </c>
      <c r="D7343" t="s">
        <v>6168</v>
      </c>
    </row>
    <row r="7344" spans="1:4">
      <c r="A7344" t="s">
        <v>17147</v>
      </c>
      <c r="B7344">
        <v>44448</v>
      </c>
      <c r="C7344" t="s">
        <v>17148</v>
      </c>
      <c r="D7344" t="s">
        <v>6168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12938</v>
      </c>
      <c r="B7346">
        <v>43165</v>
      </c>
      <c r="C7346" t="s">
        <v>12939</v>
      </c>
      <c r="D7346" t="s">
        <v>6305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12940</v>
      </c>
      <c r="B7348">
        <v>26174</v>
      </c>
      <c r="C7348" t="s">
        <v>12941</v>
      </c>
      <c r="D7348" t="s">
        <v>6168</v>
      </c>
    </row>
    <row r="7349" spans="1:4">
      <c r="A7349" t="s">
        <v>12942</v>
      </c>
      <c r="B7349">
        <v>31365</v>
      </c>
      <c r="C7349" t="s">
        <v>12943</v>
      </c>
      <c r="D7349" t="s">
        <v>6168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12944</v>
      </c>
      <c r="B7351">
        <v>35307</v>
      </c>
      <c r="C7351" t="s">
        <v>1261</v>
      </c>
      <c r="D7351" t="s">
        <v>6168</v>
      </c>
    </row>
    <row r="7352" spans="1:4">
      <c r="A7352" t="s">
        <v>12945</v>
      </c>
      <c r="B7352">
        <v>31064</v>
      </c>
      <c r="C7352" t="s">
        <v>12946</v>
      </c>
      <c r="D7352" t="s">
        <v>6168</v>
      </c>
    </row>
    <row r="7353" spans="1:4">
      <c r="A7353" t="s">
        <v>12947</v>
      </c>
      <c r="B7353">
        <v>22383</v>
      </c>
      <c r="C7353" t="s">
        <v>6558</v>
      </c>
      <c r="D7353" t="s">
        <v>6168</v>
      </c>
    </row>
    <row r="7354" spans="1:4">
      <c r="A7354" t="s">
        <v>12948</v>
      </c>
      <c r="B7354">
        <v>22384</v>
      </c>
      <c r="C7354" t="s">
        <v>12949</v>
      </c>
      <c r="D7354" t="s">
        <v>6168</v>
      </c>
    </row>
    <row r="7355" spans="1:4">
      <c r="A7355" t="s">
        <v>12950</v>
      </c>
      <c r="B7355">
        <v>30421</v>
      </c>
      <c r="C7355" t="s">
        <v>12951</v>
      </c>
      <c r="D7355" t="s">
        <v>6168</v>
      </c>
    </row>
    <row r="7356" spans="1:4">
      <c r="A7356" t="s">
        <v>12952</v>
      </c>
      <c r="B7356">
        <v>22385</v>
      </c>
      <c r="C7356" t="s">
        <v>12953</v>
      </c>
      <c r="D7356" t="s">
        <v>6168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12954</v>
      </c>
      <c r="B7358">
        <v>22387</v>
      </c>
      <c r="C7358" t="s">
        <v>4950</v>
      </c>
      <c r="D7358" t="s">
        <v>6168</v>
      </c>
    </row>
    <row r="7359" spans="1:4">
      <c r="A7359" t="s">
        <v>12955</v>
      </c>
      <c r="B7359">
        <v>39785</v>
      </c>
      <c r="C7359" t="s">
        <v>12956</v>
      </c>
      <c r="D7359" t="s">
        <v>6168</v>
      </c>
    </row>
    <row r="7360" spans="1:4">
      <c r="A7360" t="s">
        <v>12957</v>
      </c>
      <c r="B7360">
        <v>40479</v>
      </c>
      <c r="C7360" t="s">
        <v>6785</v>
      </c>
      <c r="D7360" t="s">
        <v>6168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12958</v>
      </c>
      <c r="B7362">
        <v>22389</v>
      </c>
      <c r="C7362" t="s">
        <v>3850</v>
      </c>
      <c r="D7362" t="s">
        <v>6267</v>
      </c>
    </row>
    <row r="7363" spans="1:4">
      <c r="A7363" t="s">
        <v>12959</v>
      </c>
      <c r="B7363">
        <v>22390</v>
      </c>
      <c r="C7363" t="s">
        <v>3850</v>
      </c>
      <c r="D7363" t="s">
        <v>6314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12960</v>
      </c>
      <c r="B7365">
        <v>22391</v>
      </c>
      <c r="D7365" t="s">
        <v>6267</v>
      </c>
    </row>
    <row r="7366" spans="1:4">
      <c r="A7366" t="s">
        <v>12961</v>
      </c>
      <c r="B7366">
        <v>22392</v>
      </c>
      <c r="D7366" t="s">
        <v>6305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12962</v>
      </c>
      <c r="B7368">
        <v>2716</v>
      </c>
      <c r="C7368" t="s">
        <v>150</v>
      </c>
      <c r="D7368" t="s">
        <v>6168</v>
      </c>
    </row>
    <row r="7369" spans="1:4">
      <c r="A7369" t="s">
        <v>12963</v>
      </c>
      <c r="B7369">
        <v>22393</v>
      </c>
      <c r="D7369" t="s">
        <v>6314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12964</v>
      </c>
      <c r="B7371">
        <v>41220</v>
      </c>
      <c r="C7371" t="s">
        <v>12965</v>
      </c>
      <c r="D7371" t="s">
        <v>6168</v>
      </c>
    </row>
    <row r="7372" spans="1:4">
      <c r="A7372" t="s">
        <v>12966</v>
      </c>
      <c r="B7372">
        <v>35220</v>
      </c>
      <c r="C7372" t="s">
        <v>12967</v>
      </c>
      <c r="D7372" t="s">
        <v>6168</v>
      </c>
    </row>
    <row r="7373" spans="1:4">
      <c r="A7373" t="s">
        <v>12968</v>
      </c>
      <c r="B7373">
        <v>24232</v>
      </c>
      <c r="C7373" t="s">
        <v>7741</v>
      </c>
      <c r="D7373" t="s">
        <v>6168</v>
      </c>
    </row>
    <row r="7374" spans="1:4">
      <c r="A7374" t="s">
        <v>12969</v>
      </c>
      <c r="B7374">
        <v>35221</v>
      </c>
      <c r="C7374" t="s">
        <v>12076</v>
      </c>
      <c r="D7374" t="s">
        <v>6168</v>
      </c>
    </row>
    <row r="7375" spans="1:4">
      <c r="A7375" t="s">
        <v>12970</v>
      </c>
      <c r="B7375">
        <v>31063</v>
      </c>
      <c r="C7375" t="s">
        <v>12971</v>
      </c>
      <c r="D7375" t="s">
        <v>6168</v>
      </c>
    </row>
    <row r="7376" spans="1:4">
      <c r="A7376" t="s">
        <v>12972</v>
      </c>
      <c r="B7376">
        <v>24233</v>
      </c>
      <c r="C7376" t="s">
        <v>9179</v>
      </c>
      <c r="D7376" t="s">
        <v>6168</v>
      </c>
    </row>
    <row r="7377" spans="1:4">
      <c r="A7377" t="s">
        <v>12973</v>
      </c>
      <c r="B7377">
        <v>35222</v>
      </c>
      <c r="C7377" t="s">
        <v>12974</v>
      </c>
      <c r="D7377" t="s">
        <v>6168</v>
      </c>
    </row>
    <row r="7378" spans="1:4">
      <c r="A7378" t="s">
        <v>12975</v>
      </c>
      <c r="B7378">
        <v>35223</v>
      </c>
      <c r="C7378" t="s">
        <v>12976</v>
      </c>
      <c r="D7378" t="s">
        <v>6168</v>
      </c>
    </row>
    <row r="7379" spans="1:4">
      <c r="A7379" t="s">
        <v>12977</v>
      </c>
      <c r="B7379">
        <v>35224</v>
      </c>
      <c r="C7379" t="s">
        <v>12965</v>
      </c>
      <c r="D7379" t="s">
        <v>6168</v>
      </c>
    </row>
    <row r="7380" spans="1:4">
      <c r="A7380" t="s">
        <v>12978</v>
      </c>
      <c r="B7380">
        <v>25755</v>
      </c>
      <c r="C7380" t="s">
        <v>6564</v>
      </c>
      <c r="D7380" t="s">
        <v>6168</v>
      </c>
    </row>
    <row r="7381" spans="1:4">
      <c r="A7381" t="s">
        <v>12979</v>
      </c>
      <c r="B7381">
        <v>25756</v>
      </c>
      <c r="C7381" t="s">
        <v>6554</v>
      </c>
      <c r="D7381" t="s">
        <v>6168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12980</v>
      </c>
      <c r="B7384">
        <v>4377</v>
      </c>
      <c r="C7384" t="s">
        <v>12981</v>
      </c>
      <c r="D7384" t="s">
        <v>6168</v>
      </c>
    </row>
    <row r="7385" spans="1:4">
      <c r="A7385" t="s">
        <v>12982</v>
      </c>
      <c r="B7385">
        <v>43097</v>
      </c>
      <c r="C7385" t="s">
        <v>12983</v>
      </c>
      <c r="D7385" t="s">
        <v>6168</v>
      </c>
    </row>
    <row r="7386" spans="1:4">
      <c r="A7386" t="s">
        <v>12984</v>
      </c>
      <c r="B7386">
        <v>42089</v>
      </c>
      <c r="C7386" t="s">
        <v>1143</v>
      </c>
      <c r="D7386" t="s">
        <v>6168</v>
      </c>
    </row>
    <row r="7387" spans="1:4">
      <c r="A7387" t="s">
        <v>12985</v>
      </c>
      <c r="B7387">
        <v>42788</v>
      </c>
      <c r="C7387" t="s">
        <v>12986</v>
      </c>
      <c r="D7387" t="s">
        <v>6168</v>
      </c>
    </row>
    <row r="7388" spans="1:4">
      <c r="A7388" t="s">
        <v>12987</v>
      </c>
      <c r="B7388">
        <v>4374</v>
      </c>
      <c r="C7388" t="s">
        <v>9786</v>
      </c>
      <c r="D7388" t="s">
        <v>6245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12988</v>
      </c>
      <c r="B7391">
        <v>20734</v>
      </c>
      <c r="C7391" t="s">
        <v>6467</v>
      </c>
      <c r="D7391" t="s">
        <v>6168</v>
      </c>
    </row>
    <row r="7392" spans="1:4">
      <c r="A7392" t="s">
        <v>12989</v>
      </c>
      <c r="B7392">
        <v>20735</v>
      </c>
      <c r="C7392" t="s">
        <v>12990</v>
      </c>
      <c r="D7392" t="s">
        <v>6168</v>
      </c>
    </row>
    <row r="7393" spans="1:4">
      <c r="A7393" t="s">
        <v>12991</v>
      </c>
      <c r="B7393">
        <v>20732</v>
      </c>
      <c r="C7393" t="s">
        <v>12992</v>
      </c>
      <c r="D7393" t="s">
        <v>6168</v>
      </c>
    </row>
    <row r="7394" spans="1:4">
      <c r="A7394" t="s">
        <v>12993</v>
      </c>
      <c r="B7394">
        <v>20733</v>
      </c>
      <c r="C7394" t="s">
        <v>12994</v>
      </c>
      <c r="D7394" t="s">
        <v>6168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12995</v>
      </c>
      <c r="B7396">
        <v>30207</v>
      </c>
      <c r="C7396" t="s">
        <v>12996</v>
      </c>
      <c r="D7396" t="s">
        <v>6168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12997</v>
      </c>
      <c r="B7398">
        <v>23603</v>
      </c>
      <c r="C7398" t="s">
        <v>6219</v>
      </c>
      <c r="D7398" t="s">
        <v>6168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12998</v>
      </c>
      <c r="B7400">
        <v>23077</v>
      </c>
      <c r="C7400" t="s">
        <v>12999</v>
      </c>
      <c r="D7400" t="s">
        <v>6305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13000</v>
      </c>
      <c r="B7402">
        <v>22394</v>
      </c>
      <c r="C7402" t="s">
        <v>9703</v>
      </c>
      <c r="D7402" t="s">
        <v>6168</v>
      </c>
    </row>
    <row r="7403" spans="1:4">
      <c r="A7403" t="s">
        <v>13001</v>
      </c>
      <c r="B7403">
        <v>3157</v>
      </c>
      <c r="C7403" t="s">
        <v>1675</v>
      </c>
      <c r="D7403" t="s">
        <v>6168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13002</v>
      </c>
      <c r="B7405">
        <v>29658</v>
      </c>
      <c r="C7405" t="s">
        <v>13003</v>
      </c>
      <c r="D7405" t="s">
        <v>6168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13004</v>
      </c>
      <c r="B7407">
        <v>25569</v>
      </c>
      <c r="D7407" t="s">
        <v>6605</v>
      </c>
    </row>
    <row r="7408" spans="1:4">
      <c r="A7408" t="s">
        <v>13005</v>
      </c>
      <c r="B7408">
        <v>3111</v>
      </c>
      <c r="D7408" t="s">
        <v>6872</v>
      </c>
    </row>
    <row r="7409" spans="1:4">
      <c r="A7409" t="s">
        <v>13006</v>
      </c>
      <c r="B7409">
        <v>43160</v>
      </c>
      <c r="C7409" t="s">
        <v>13007</v>
      </c>
      <c r="D7409" t="s">
        <v>6314</v>
      </c>
    </row>
    <row r="7410" spans="1:4">
      <c r="A7410" t="s">
        <v>13008</v>
      </c>
      <c r="B7410">
        <v>20518</v>
      </c>
      <c r="D7410" t="s">
        <v>6230</v>
      </c>
    </row>
    <row r="7411" spans="1:4">
      <c r="A7411" t="s">
        <v>13009</v>
      </c>
      <c r="B7411">
        <v>1089</v>
      </c>
      <c r="C7411" t="s">
        <v>13010</v>
      </c>
      <c r="D7411" t="s">
        <v>6605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13011</v>
      </c>
      <c r="B7413">
        <v>23833</v>
      </c>
      <c r="C7413" t="s">
        <v>2824</v>
      </c>
      <c r="D7413" t="s">
        <v>6168</v>
      </c>
    </row>
    <row r="7414" spans="1:4">
      <c r="A7414" t="s">
        <v>13012</v>
      </c>
      <c r="B7414">
        <v>23834</v>
      </c>
      <c r="C7414" t="s">
        <v>1359</v>
      </c>
      <c r="D7414" t="s">
        <v>6168</v>
      </c>
    </row>
    <row r="7415" spans="1:4">
      <c r="A7415" t="s">
        <v>13013</v>
      </c>
      <c r="B7415">
        <v>27419</v>
      </c>
      <c r="D7415" t="s">
        <v>6872</v>
      </c>
    </row>
    <row r="7416" spans="1:4">
      <c r="A7416" t="s">
        <v>13014</v>
      </c>
      <c r="B7416">
        <v>1052</v>
      </c>
      <c r="D7416" t="s">
        <v>6872</v>
      </c>
    </row>
    <row r="7417" spans="1:4">
      <c r="A7417" t="s">
        <v>13015</v>
      </c>
      <c r="B7417">
        <v>23513</v>
      </c>
      <c r="D7417" t="s">
        <v>6605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13016</v>
      </c>
      <c r="B7420">
        <v>29540</v>
      </c>
      <c r="C7420" t="s">
        <v>4950</v>
      </c>
      <c r="D7420" t="s">
        <v>6168</v>
      </c>
    </row>
    <row r="7421" spans="1:4">
      <c r="A7421" t="s">
        <v>13017</v>
      </c>
      <c r="B7421">
        <v>29503</v>
      </c>
      <c r="C7421" t="s">
        <v>6330</v>
      </c>
      <c r="D7421" t="s">
        <v>6168</v>
      </c>
    </row>
    <row r="7422" spans="1:4">
      <c r="A7422" t="s">
        <v>13018</v>
      </c>
      <c r="B7422">
        <v>27333</v>
      </c>
      <c r="D7422" t="s">
        <v>6872</v>
      </c>
    </row>
    <row r="7423" spans="1:4">
      <c r="A7423" t="s">
        <v>13019</v>
      </c>
      <c r="B7423">
        <v>27422</v>
      </c>
      <c r="D7423" t="s">
        <v>6605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13020</v>
      </c>
      <c r="B7425">
        <v>22396</v>
      </c>
      <c r="C7425" t="s">
        <v>8782</v>
      </c>
      <c r="D7425" t="s">
        <v>6168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13021</v>
      </c>
      <c r="B7427">
        <v>4418</v>
      </c>
      <c r="C7427" t="s">
        <v>13022</v>
      </c>
      <c r="D7427" t="s">
        <v>6168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13023</v>
      </c>
      <c r="B7429">
        <v>5227</v>
      </c>
      <c r="C7429" t="s">
        <v>8163</v>
      </c>
      <c r="D7429" t="s">
        <v>6168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13024</v>
      </c>
      <c r="B7432">
        <v>27</v>
      </c>
      <c r="C7432" t="s">
        <v>13025</v>
      </c>
      <c r="D7432" t="s">
        <v>6168</v>
      </c>
    </row>
    <row r="7433" spans="1:4">
      <c r="A7433" t="s">
        <v>13026</v>
      </c>
      <c r="B7433">
        <v>28</v>
      </c>
      <c r="C7433" t="s">
        <v>1613</v>
      </c>
      <c r="D7433" t="s">
        <v>6168</v>
      </c>
    </row>
    <row r="7434" spans="1:4">
      <c r="A7434" t="s">
        <v>13027</v>
      </c>
      <c r="B7434">
        <v>29</v>
      </c>
      <c r="C7434" t="s">
        <v>8163</v>
      </c>
      <c r="D7434" t="s">
        <v>6168</v>
      </c>
    </row>
    <row r="7435" spans="1:4">
      <c r="A7435" t="s">
        <v>13028</v>
      </c>
      <c r="B7435">
        <v>30</v>
      </c>
      <c r="C7435" t="s">
        <v>13029</v>
      </c>
      <c r="D7435" t="s">
        <v>6168</v>
      </c>
    </row>
    <row r="7436" spans="1:4">
      <c r="A7436" t="s">
        <v>13030</v>
      </c>
      <c r="B7436">
        <v>31</v>
      </c>
      <c r="C7436" t="s">
        <v>13025</v>
      </c>
      <c r="D7436" t="s">
        <v>6168</v>
      </c>
    </row>
    <row r="7437" spans="1:4">
      <c r="A7437" t="s">
        <v>13031</v>
      </c>
      <c r="B7437">
        <v>32</v>
      </c>
      <c r="C7437" t="s">
        <v>13032</v>
      </c>
      <c r="D7437" t="s">
        <v>6168</v>
      </c>
    </row>
    <row r="7438" spans="1:4">
      <c r="A7438" t="s">
        <v>13033</v>
      </c>
      <c r="B7438">
        <v>33</v>
      </c>
      <c r="C7438" t="s">
        <v>11779</v>
      </c>
      <c r="D7438" t="s">
        <v>6168</v>
      </c>
    </row>
    <row r="7439" spans="1:4">
      <c r="A7439" t="s">
        <v>13034</v>
      </c>
      <c r="B7439">
        <v>34</v>
      </c>
      <c r="C7439" t="s">
        <v>1939</v>
      </c>
      <c r="D7439" t="s">
        <v>6168</v>
      </c>
    </row>
    <row r="7440" spans="1:4">
      <c r="A7440" t="s">
        <v>13035</v>
      </c>
      <c r="B7440">
        <v>35</v>
      </c>
      <c r="C7440" t="s">
        <v>9615</v>
      </c>
      <c r="D7440" t="s">
        <v>6168</v>
      </c>
    </row>
    <row r="7441" spans="1:4">
      <c r="A7441" t="s">
        <v>13036</v>
      </c>
      <c r="B7441">
        <v>36</v>
      </c>
      <c r="C7441" t="s">
        <v>1006</v>
      </c>
      <c r="D7441" t="s">
        <v>6168</v>
      </c>
    </row>
    <row r="7442" spans="1:4">
      <c r="A7442" t="s">
        <v>13037</v>
      </c>
      <c r="B7442">
        <v>37</v>
      </c>
      <c r="C7442" t="s">
        <v>11810</v>
      </c>
      <c r="D7442" t="s">
        <v>6168</v>
      </c>
    </row>
    <row r="7443" spans="1:4">
      <c r="A7443" t="s">
        <v>13038</v>
      </c>
      <c r="B7443">
        <v>38</v>
      </c>
      <c r="C7443" t="s">
        <v>1437</v>
      </c>
      <c r="D7443" t="s">
        <v>6168</v>
      </c>
    </row>
    <row r="7444" spans="1:4">
      <c r="A7444" t="s">
        <v>13039</v>
      </c>
      <c r="B7444">
        <v>39</v>
      </c>
      <c r="C7444" t="s">
        <v>13040</v>
      </c>
      <c r="D7444" t="s">
        <v>6168</v>
      </c>
    </row>
    <row r="7445" spans="1:4">
      <c r="A7445" t="s">
        <v>13041</v>
      </c>
      <c r="B7445">
        <v>40</v>
      </c>
      <c r="C7445" t="s">
        <v>1437</v>
      </c>
      <c r="D7445" t="s">
        <v>6168</v>
      </c>
    </row>
    <row r="7446" spans="1:4">
      <c r="A7446" t="s">
        <v>13042</v>
      </c>
      <c r="B7446">
        <v>41</v>
      </c>
      <c r="D7446" t="s">
        <v>6168</v>
      </c>
    </row>
    <row r="7447" spans="1:4">
      <c r="A7447" t="s">
        <v>13043</v>
      </c>
      <c r="B7447">
        <v>42</v>
      </c>
      <c r="C7447" t="s">
        <v>1437</v>
      </c>
      <c r="D7447" t="s">
        <v>6168</v>
      </c>
    </row>
    <row r="7448" spans="1:4">
      <c r="A7448" t="s">
        <v>13044</v>
      </c>
      <c r="B7448">
        <v>24944</v>
      </c>
      <c r="C7448" t="s">
        <v>13040</v>
      </c>
      <c r="D7448" t="s">
        <v>6168</v>
      </c>
    </row>
    <row r="7449" spans="1:4">
      <c r="A7449" t="s">
        <v>13045</v>
      </c>
      <c r="B7449">
        <v>43</v>
      </c>
      <c r="C7449" t="s">
        <v>1437</v>
      </c>
      <c r="D7449" t="s">
        <v>6168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13046</v>
      </c>
      <c r="B7451">
        <v>20401</v>
      </c>
      <c r="C7451" t="s">
        <v>13047</v>
      </c>
      <c r="D7451" t="s">
        <v>6314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13048</v>
      </c>
      <c r="B7453">
        <v>45</v>
      </c>
      <c r="C7453" t="s">
        <v>13049</v>
      </c>
      <c r="D7453" t="s">
        <v>6168</v>
      </c>
    </row>
    <row r="7454" spans="1:4">
      <c r="A7454" t="s">
        <v>13050</v>
      </c>
      <c r="B7454">
        <v>31127</v>
      </c>
      <c r="C7454" t="s">
        <v>13049</v>
      </c>
      <c r="D7454" t="s">
        <v>6168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13051</v>
      </c>
      <c r="B7456">
        <v>31363</v>
      </c>
      <c r="C7456" t="s">
        <v>10366</v>
      </c>
      <c r="D7456" t="s">
        <v>6168</v>
      </c>
    </row>
    <row r="7457" spans="1:4">
      <c r="A7457" t="s">
        <v>13052</v>
      </c>
      <c r="B7457">
        <v>23835</v>
      </c>
      <c r="C7457" t="s">
        <v>9813</v>
      </c>
      <c r="D7457" t="s">
        <v>6168</v>
      </c>
    </row>
    <row r="7458" spans="1:4">
      <c r="A7458" t="s">
        <v>13053</v>
      </c>
      <c r="B7458">
        <v>23836</v>
      </c>
      <c r="C7458" t="s">
        <v>13054</v>
      </c>
      <c r="D7458" t="s">
        <v>6168</v>
      </c>
    </row>
    <row r="7459" spans="1:4">
      <c r="A7459" t="s">
        <v>13055</v>
      </c>
      <c r="B7459">
        <v>41221</v>
      </c>
      <c r="C7459" t="s">
        <v>10366</v>
      </c>
      <c r="D7459" t="s">
        <v>6168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13056</v>
      </c>
      <c r="B7461">
        <v>3695</v>
      </c>
      <c r="C7461" t="s">
        <v>8072</v>
      </c>
      <c r="D7461" t="s">
        <v>6168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17177</v>
      </c>
      <c r="B7463">
        <v>44485</v>
      </c>
      <c r="C7463" t="s">
        <v>17178</v>
      </c>
      <c r="D7463" t="s">
        <v>123</v>
      </c>
    </row>
    <row r="7464" spans="1:4">
      <c r="A7464" t="s">
        <v>17179</v>
      </c>
      <c r="B7464">
        <v>44486</v>
      </c>
      <c r="C7464" t="s">
        <v>17180</v>
      </c>
      <c r="D7464" t="s">
        <v>6168</v>
      </c>
    </row>
    <row r="7465" spans="1:4">
      <c r="A7465" t="s">
        <v>17175</v>
      </c>
      <c r="B7465">
        <v>44487</v>
      </c>
      <c r="D7465" t="s">
        <v>17176</v>
      </c>
    </row>
    <row r="7466" spans="1:4">
      <c r="A7466" t="s">
        <v>13057</v>
      </c>
      <c r="B7466">
        <v>26173</v>
      </c>
      <c r="C7466" t="s">
        <v>6539</v>
      </c>
      <c r="D7466" t="s">
        <v>6230</v>
      </c>
    </row>
    <row r="7467" spans="1:4">
      <c r="A7467" t="s">
        <v>13058</v>
      </c>
      <c r="B7467">
        <v>23552</v>
      </c>
      <c r="C7467" t="s">
        <v>13059</v>
      </c>
      <c r="D7467" t="s">
        <v>6322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13060</v>
      </c>
      <c r="B7469">
        <v>31174</v>
      </c>
      <c r="C7469" t="s">
        <v>13061</v>
      </c>
      <c r="D7469" t="s">
        <v>6168</v>
      </c>
    </row>
    <row r="7470" spans="1:4">
      <c r="A7470" t="s">
        <v>13062</v>
      </c>
      <c r="B7470">
        <v>39653</v>
      </c>
      <c r="C7470" t="s">
        <v>13061</v>
      </c>
      <c r="D7470" t="s">
        <v>6168</v>
      </c>
    </row>
    <row r="7471" spans="1:4">
      <c r="A7471" t="s">
        <v>13063</v>
      </c>
      <c r="B7471">
        <v>43508</v>
      </c>
      <c r="C7471" t="s">
        <v>8986</v>
      </c>
      <c r="D7471" t="s">
        <v>6292</v>
      </c>
    </row>
    <row r="7472" spans="1:4">
      <c r="A7472" t="s">
        <v>13064</v>
      </c>
      <c r="B7472">
        <v>42719</v>
      </c>
      <c r="C7472" t="s">
        <v>13065</v>
      </c>
      <c r="D7472" t="s">
        <v>7283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13066</v>
      </c>
      <c r="B7476">
        <v>5113</v>
      </c>
      <c r="C7476" t="s">
        <v>13067</v>
      </c>
      <c r="D7476" t="s">
        <v>6168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13068</v>
      </c>
      <c r="B7478">
        <v>4115</v>
      </c>
      <c r="D7478" t="s">
        <v>6245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13069</v>
      </c>
      <c r="B7480">
        <v>24234</v>
      </c>
      <c r="C7480" t="s">
        <v>6321</v>
      </c>
      <c r="D7480" t="s">
        <v>6243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13070</v>
      </c>
      <c r="B7482">
        <v>42386</v>
      </c>
      <c r="C7482" t="s">
        <v>13071</v>
      </c>
      <c r="D7482" t="s">
        <v>6168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13072</v>
      </c>
      <c r="B7484">
        <v>42364</v>
      </c>
      <c r="C7484" t="s">
        <v>13073</v>
      </c>
      <c r="D7484" t="s">
        <v>6168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13074</v>
      </c>
      <c r="B7486">
        <v>24235</v>
      </c>
      <c r="C7486" t="s">
        <v>2523</v>
      </c>
      <c r="D7486" t="s">
        <v>6241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13075</v>
      </c>
      <c r="B7488">
        <v>4348</v>
      </c>
      <c r="C7488" t="s">
        <v>7313</v>
      </c>
      <c r="D7488" t="s">
        <v>6168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13076</v>
      </c>
      <c r="B7490">
        <v>22398</v>
      </c>
      <c r="C7490" t="s">
        <v>13077</v>
      </c>
      <c r="D7490" t="s">
        <v>6168</v>
      </c>
    </row>
    <row r="7491" spans="1:4">
      <c r="A7491" t="s">
        <v>13078</v>
      </c>
      <c r="B7491">
        <v>22399</v>
      </c>
      <c r="C7491" t="s">
        <v>733</v>
      </c>
      <c r="D7491" t="s">
        <v>6168</v>
      </c>
    </row>
    <row r="7492" spans="1:4">
      <c r="A7492" t="s">
        <v>13079</v>
      </c>
      <c r="B7492">
        <v>22400</v>
      </c>
      <c r="C7492" t="s">
        <v>13080</v>
      </c>
      <c r="D7492" t="s">
        <v>6168</v>
      </c>
    </row>
    <row r="7493" spans="1:4">
      <c r="A7493" t="s">
        <v>13081</v>
      </c>
      <c r="B7493">
        <v>22401</v>
      </c>
      <c r="C7493" t="s">
        <v>905</v>
      </c>
      <c r="D7493" t="s">
        <v>6168</v>
      </c>
    </row>
    <row r="7494" spans="1:4">
      <c r="A7494" t="s">
        <v>13082</v>
      </c>
      <c r="B7494">
        <v>22402</v>
      </c>
      <c r="C7494" t="s">
        <v>905</v>
      </c>
      <c r="D7494" t="s">
        <v>6168</v>
      </c>
    </row>
    <row r="7495" spans="1:4">
      <c r="A7495" t="s">
        <v>13083</v>
      </c>
      <c r="B7495">
        <v>22403</v>
      </c>
      <c r="C7495" t="s">
        <v>905</v>
      </c>
      <c r="D7495" t="s">
        <v>6168</v>
      </c>
    </row>
    <row r="7496" spans="1:4">
      <c r="A7496" t="s">
        <v>13084</v>
      </c>
      <c r="B7496">
        <v>22404</v>
      </c>
      <c r="C7496" t="s">
        <v>13085</v>
      </c>
      <c r="D7496" t="s">
        <v>6168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13086</v>
      </c>
      <c r="B7499">
        <v>25350</v>
      </c>
      <c r="C7499" t="s">
        <v>13087</v>
      </c>
      <c r="D7499" t="s">
        <v>6168</v>
      </c>
    </row>
    <row r="7500" spans="1:4">
      <c r="A7500" t="s">
        <v>17403</v>
      </c>
      <c r="B7500">
        <v>45493</v>
      </c>
      <c r="C7500" t="s">
        <v>17404</v>
      </c>
      <c r="D7500" t="s">
        <v>123</v>
      </c>
    </row>
    <row r="7501" spans="1:4">
      <c r="A7501" t="s">
        <v>17465</v>
      </c>
      <c r="B7501">
        <v>45755</v>
      </c>
      <c r="C7501" t="s">
        <v>17466</v>
      </c>
      <c r="D7501" t="s">
        <v>6168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13088</v>
      </c>
      <c r="B7504">
        <v>22406</v>
      </c>
      <c r="C7504" t="s">
        <v>7271</v>
      </c>
      <c r="D7504" t="s">
        <v>6168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13089</v>
      </c>
      <c r="B7506">
        <v>30565</v>
      </c>
      <c r="C7506" t="s">
        <v>13090</v>
      </c>
      <c r="D7506" t="s">
        <v>6168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13091</v>
      </c>
      <c r="B7508">
        <v>40869</v>
      </c>
      <c r="C7508" t="s">
        <v>13092</v>
      </c>
      <c r="D7508" t="s">
        <v>6168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13093</v>
      </c>
      <c r="B7510">
        <v>23062</v>
      </c>
      <c r="C7510" t="s">
        <v>13094</v>
      </c>
      <c r="D7510" t="s">
        <v>6305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13095</v>
      </c>
      <c r="B7513">
        <v>2717</v>
      </c>
      <c r="C7513" t="s">
        <v>2597</v>
      </c>
      <c r="D7513" t="s">
        <v>6168</v>
      </c>
    </row>
    <row r="7514" spans="1:4">
      <c r="A7514" t="s">
        <v>13096</v>
      </c>
      <c r="B7514">
        <v>2718</v>
      </c>
      <c r="C7514" t="s">
        <v>13097</v>
      </c>
      <c r="D7514" t="s">
        <v>6168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13098</v>
      </c>
      <c r="B7516">
        <v>31173</v>
      </c>
      <c r="C7516" t="s">
        <v>13099</v>
      </c>
      <c r="D7516" t="s">
        <v>6248</v>
      </c>
    </row>
    <row r="7517" spans="1:4">
      <c r="A7517" t="s">
        <v>13100</v>
      </c>
      <c r="B7517">
        <v>30700</v>
      </c>
      <c r="C7517" t="s">
        <v>13101</v>
      </c>
      <c r="D7517" t="s">
        <v>6168</v>
      </c>
    </row>
    <row r="7518" spans="1:4">
      <c r="A7518" t="s">
        <v>13102</v>
      </c>
      <c r="B7518">
        <v>31448</v>
      </c>
      <c r="C7518" t="s">
        <v>6985</v>
      </c>
      <c r="D7518" t="s">
        <v>6168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13103</v>
      </c>
      <c r="B7520">
        <v>22408</v>
      </c>
      <c r="C7520" t="s">
        <v>13104</v>
      </c>
      <c r="D7520" t="s">
        <v>6168</v>
      </c>
    </row>
    <row r="7521" spans="1:4">
      <c r="A7521" t="s">
        <v>13105</v>
      </c>
      <c r="B7521">
        <v>22409</v>
      </c>
      <c r="C7521" t="s">
        <v>13106</v>
      </c>
      <c r="D7521" t="s">
        <v>6168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13107</v>
      </c>
      <c r="B7523">
        <v>23551</v>
      </c>
      <c r="C7523" t="s">
        <v>1073</v>
      </c>
      <c r="D7523" t="s">
        <v>6314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13108</v>
      </c>
      <c r="B7525">
        <v>3953</v>
      </c>
      <c r="C7525" t="s">
        <v>4950</v>
      </c>
      <c r="D7525" t="s">
        <v>6168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13109</v>
      </c>
      <c r="B7530">
        <v>22980</v>
      </c>
      <c r="C7530" t="s">
        <v>638</v>
      </c>
      <c r="D7530" t="s">
        <v>6168</v>
      </c>
    </row>
    <row r="7531" spans="1:4">
      <c r="A7531" t="s">
        <v>13110</v>
      </c>
      <c r="B7531">
        <v>22981</v>
      </c>
      <c r="C7531" t="s">
        <v>8005</v>
      </c>
      <c r="D7531" t="s">
        <v>6168</v>
      </c>
    </row>
    <row r="7532" spans="1:4">
      <c r="A7532" t="s">
        <v>13111</v>
      </c>
      <c r="B7532">
        <v>43011</v>
      </c>
      <c r="C7532" t="s">
        <v>13112</v>
      </c>
      <c r="D7532" t="s">
        <v>6168</v>
      </c>
    </row>
    <row r="7533" spans="1:4">
      <c r="A7533" t="s">
        <v>13113</v>
      </c>
      <c r="B7533">
        <v>22982</v>
      </c>
      <c r="C7533" t="s">
        <v>12965</v>
      </c>
      <c r="D7533" t="s">
        <v>6168</v>
      </c>
    </row>
    <row r="7534" spans="1:4">
      <c r="A7534" t="s">
        <v>13114</v>
      </c>
      <c r="B7534">
        <v>22983</v>
      </c>
      <c r="C7534" t="s">
        <v>1369</v>
      </c>
      <c r="D7534" t="s">
        <v>6168</v>
      </c>
    </row>
    <row r="7535" spans="1:4">
      <c r="A7535" t="s">
        <v>13115</v>
      </c>
      <c r="B7535">
        <v>22984</v>
      </c>
      <c r="C7535" t="s">
        <v>1228</v>
      </c>
      <c r="D7535" t="s">
        <v>6168</v>
      </c>
    </row>
    <row r="7536" spans="1:4">
      <c r="A7536" t="s">
        <v>13116</v>
      </c>
      <c r="B7536">
        <v>22985</v>
      </c>
      <c r="C7536" t="s">
        <v>1381</v>
      </c>
      <c r="D7536" t="s">
        <v>6168</v>
      </c>
    </row>
    <row r="7537" spans="1:4">
      <c r="A7537" t="s">
        <v>13117</v>
      </c>
      <c r="B7537">
        <v>22986</v>
      </c>
      <c r="C7537" t="s">
        <v>13118</v>
      </c>
      <c r="D7537" t="s">
        <v>6168</v>
      </c>
    </row>
    <row r="7538" spans="1:4">
      <c r="A7538" t="s">
        <v>13119</v>
      </c>
      <c r="B7538">
        <v>22987</v>
      </c>
      <c r="C7538" t="s">
        <v>13120</v>
      </c>
      <c r="D7538" t="s">
        <v>6168</v>
      </c>
    </row>
    <row r="7539" spans="1:4">
      <c r="A7539" t="s">
        <v>13121</v>
      </c>
      <c r="B7539">
        <v>30470</v>
      </c>
      <c r="C7539" t="s">
        <v>13122</v>
      </c>
      <c r="D7539" t="s">
        <v>6168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13123</v>
      </c>
      <c r="B7541">
        <v>23106</v>
      </c>
      <c r="C7541" t="s">
        <v>444</v>
      </c>
      <c r="D7541" t="s">
        <v>6267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13124</v>
      </c>
      <c r="B7543">
        <v>26171</v>
      </c>
      <c r="C7543" t="s">
        <v>4950</v>
      </c>
      <c r="D7543" t="s">
        <v>6168</v>
      </c>
    </row>
    <row r="7544" spans="1:4">
      <c r="A7544" t="s">
        <v>13125</v>
      </c>
      <c r="B7544">
        <v>22410</v>
      </c>
      <c r="D7544" t="s">
        <v>6314</v>
      </c>
    </row>
    <row r="7545" spans="1:4">
      <c r="A7545" t="s">
        <v>13126</v>
      </c>
      <c r="B7545">
        <v>20591</v>
      </c>
      <c r="D7545" t="s">
        <v>6292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13127</v>
      </c>
      <c r="B7547">
        <v>23837</v>
      </c>
      <c r="D7547" t="s">
        <v>6230</v>
      </c>
    </row>
    <row r="7548" spans="1:4">
      <c r="A7548" t="s">
        <v>13128</v>
      </c>
      <c r="B7548">
        <v>36197</v>
      </c>
      <c r="C7548" t="s">
        <v>490</v>
      </c>
      <c r="D7548" t="s">
        <v>6267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13129</v>
      </c>
      <c r="B7550">
        <v>29198</v>
      </c>
      <c r="C7550" t="s">
        <v>12831</v>
      </c>
      <c r="D7550" t="s">
        <v>6168</v>
      </c>
    </row>
    <row r="7551" spans="1:4">
      <c r="A7551" t="s">
        <v>13130</v>
      </c>
      <c r="B7551">
        <v>23588</v>
      </c>
      <c r="D7551" t="s">
        <v>6267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13131</v>
      </c>
      <c r="B7553">
        <v>39698</v>
      </c>
      <c r="C7553" t="s">
        <v>13132</v>
      </c>
      <c r="D7553" t="s">
        <v>6168</v>
      </c>
    </row>
    <row r="7554" spans="1:4">
      <c r="A7554" t="s">
        <v>13133</v>
      </c>
      <c r="B7554">
        <v>35233</v>
      </c>
      <c r="C7554" t="s">
        <v>1342</v>
      </c>
      <c r="D7554" t="s">
        <v>6168</v>
      </c>
    </row>
    <row r="7555" spans="1:4">
      <c r="A7555" t="s">
        <v>13134</v>
      </c>
      <c r="B7555">
        <v>30418</v>
      </c>
      <c r="C7555" t="s">
        <v>9010</v>
      </c>
      <c r="D7555" t="s">
        <v>6168</v>
      </c>
    </row>
    <row r="7556" spans="1:4">
      <c r="A7556" t="s">
        <v>13135</v>
      </c>
      <c r="B7556">
        <v>23838</v>
      </c>
      <c r="C7556" t="s">
        <v>12291</v>
      </c>
      <c r="D7556" t="s">
        <v>6168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13136</v>
      </c>
      <c r="B7558">
        <v>24771</v>
      </c>
      <c r="C7558" t="s">
        <v>1273</v>
      </c>
      <c r="D7558" t="s">
        <v>6248</v>
      </c>
    </row>
    <row r="7559" spans="1:4">
      <c r="A7559" t="s">
        <v>13137</v>
      </c>
      <c r="B7559">
        <v>30398</v>
      </c>
      <c r="C7559" t="s">
        <v>2626</v>
      </c>
      <c r="D7559" t="s">
        <v>6168</v>
      </c>
    </row>
    <row r="7560" spans="1:4">
      <c r="A7560" t="s">
        <v>13138</v>
      </c>
      <c r="B7560">
        <v>25502</v>
      </c>
      <c r="C7560" t="s">
        <v>11473</v>
      </c>
      <c r="D7560" t="s">
        <v>6168</v>
      </c>
    </row>
    <row r="7561" spans="1:4">
      <c r="A7561" t="s">
        <v>13139</v>
      </c>
      <c r="B7561">
        <v>30417</v>
      </c>
      <c r="C7561" t="s">
        <v>13140</v>
      </c>
      <c r="D7561" t="s">
        <v>6168</v>
      </c>
    </row>
    <row r="7562" spans="1:4">
      <c r="A7562" t="s">
        <v>13141</v>
      </c>
      <c r="B7562">
        <v>29495</v>
      </c>
      <c r="C7562" t="s">
        <v>1294</v>
      </c>
      <c r="D7562" t="s">
        <v>6168</v>
      </c>
    </row>
    <row r="7563" spans="1:4">
      <c r="A7563" t="s">
        <v>13142</v>
      </c>
      <c r="B7563">
        <v>26169</v>
      </c>
      <c r="C7563" t="s">
        <v>1273</v>
      </c>
      <c r="D7563" t="s">
        <v>6168</v>
      </c>
    </row>
    <row r="7564" spans="1:4">
      <c r="A7564" t="s">
        <v>13143</v>
      </c>
      <c r="B7564">
        <v>22988</v>
      </c>
      <c r="C7564" t="s">
        <v>1294</v>
      </c>
      <c r="D7564" t="s">
        <v>6168</v>
      </c>
    </row>
    <row r="7565" spans="1:4">
      <c r="A7565" t="s">
        <v>13144</v>
      </c>
      <c r="B7565">
        <v>26165</v>
      </c>
      <c r="C7565" t="s">
        <v>626</v>
      </c>
      <c r="D7565" t="s">
        <v>6168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13145</v>
      </c>
      <c r="B7568">
        <v>23839</v>
      </c>
      <c r="C7568" t="s">
        <v>13146</v>
      </c>
      <c r="D7568" t="s">
        <v>6168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13147</v>
      </c>
      <c r="B7570">
        <v>22412</v>
      </c>
      <c r="C7570" t="s">
        <v>7029</v>
      </c>
      <c r="D7570" t="s">
        <v>6168</v>
      </c>
    </row>
    <row r="7571" spans="1:4">
      <c r="A7571" t="s">
        <v>13148</v>
      </c>
      <c r="B7571">
        <v>22413</v>
      </c>
      <c r="C7571" t="s">
        <v>6560</v>
      </c>
      <c r="D7571" t="s">
        <v>6168</v>
      </c>
    </row>
    <row r="7572" spans="1:4">
      <c r="A7572" t="s">
        <v>13149</v>
      </c>
      <c r="B7572">
        <v>22414</v>
      </c>
      <c r="C7572" t="s">
        <v>7029</v>
      </c>
      <c r="D7572" t="s">
        <v>6168</v>
      </c>
    </row>
    <row r="7573" spans="1:4">
      <c r="A7573" t="s">
        <v>13150</v>
      </c>
      <c r="B7573">
        <v>22415</v>
      </c>
      <c r="C7573" t="s">
        <v>7029</v>
      </c>
      <c r="D7573" t="s">
        <v>6168</v>
      </c>
    </row>
    <row r="7574" spans="1:4">
      <c r="A7574" t="s">
        <v>13151</v>
      </c>
      <c r="B7574">
        <v>22416</v>
      </c>
      <c r="C7574" t="s">
        <v>13152</v>
      </c>
      <c r="D7574" t="s">
        <v>6243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13153</v>
      </c>
      <c r="B7577">
        <v>10224</v>
      </c>
      <c r="C7577" t="s">
        <v>13154</v>
      </c>
      <c r="D7577" t="s">
        <v>6168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13155</v>
      </c>
      <c r="B7579">
        <v>41947</v>
      </c>
      <c r="C7579" t="s">
        <v>11988</v>
      </c>
      <c r="D7579" t="s">
        <v>6241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16769</v>
      </c>
      <c r="B7581">
        <v>43336</v>
      </c>
      <c r="C7581" t="s">
        <v>16770</v>
      </c>
      <c r="D7581" t="s">
        <v>6168</v>
      </c>
    </row>
    <row r="7582" spans="1:4">
      <c r="A7582" t="s">
        <v>13156</v>
      </c>
      <c r="B7582">
        <v>10222</v>
      </c>
      <c r="C7582" t="s">
        <v>8093</v>
      </c>
      <c r="D7582" t="s">
        <v>6168</v>
      </c>
    </row>
    <row r="7583" spans="1:4">
      <c r="A7583" t="s">
        <v>17052</v>
      </c>
      <c r="B7583">
        <v>44304</v>
      </c>
      <c r="C7583" t="s">
        <v>17053</v>
      </c>
      <c r="D7583" t="s">
        <v>6168</v>
      </c>
    </row>
    <row r="7584" spans="1:4">
      <c r="A7584" t="s">
        <v>13157</v>
      </c>
      <c r="B7584">
        <v>10223</v>
      </c>
      <c r="C7584" t="s">
        <v>13158</v>
      </c>
      <c r="D7584" t="s">
        <v>6168</v>
      </c>
    </row>
    <row r="7585" spans="1:4">
      <c r="A7585" t="s">
        <v>16766</v>
      </c>
      <c r="B7585">
        <v>43334</v>
      </c>
      <c r="C7585" t="s">
        <v>6219</v>
      </c>
      <c r="D7585" t="s">
        <v>6168</v>
      </c>
    </row>
    <row r="7586" spans="1:4">
      <c r="A7586" t="s">
        <v>13159</v>
      </c>
      <c r="B7586">
        <v>22417</v>
      </c>
      <c r="C7586" t="s">
        <v>243</v>
      </c>
      <c r="D7586" t="s">
        <v>6168</v>
      </c>
    </row>
    <row r="7587" spans="1:4">
      <c r="A7587" t="s">
        <v>16767</v>
      </c>
      <c r="B7587">
        <v>43335</v>
      </c>
      <c r="C7587" t="s">
        <v>16768</v>
      </c>
      <c r="D7587" t="s">
        <v>6168</v>
      </c>
    </row>
    <row r="7588" spans="1:4">
      <c r="A7588" t="s">
        <v>17091</v>
      </c>
      <c r="B7588">
        <v>44346</v>
      </c>
      <c r="C7588" t="s">
        <v>17092</v>
      </c>
      <c r="D7588" t="s">
        <v>6168</v>
      </c>
    </row>
    <row r="7589" spans="1:4">
      <c r="A7589" t="s">
        <v>13160</v>
      </c>
      <c r="B7589">
        <v>22418</v>
      </c>
      <c r="C7589" t="s">
        <v>8360</v>
      </c>
      <c r="D7589" t="s">
        <v>6168</v>
      </c>
    </row>
    <row r="7590" spans="1:4">
      <c r="A7590" t="s">
        <v>13161</v>
      </c>
      <c r="B7590">
        <v>22419</v>
      </c>
      <c r="C7590" t="s">
        <v>7236</v>
      </c>
      <c r="D7590" t="s">
        <v>6168</v>
      </c>
    </row>
    <row r="7591" spans="1:4">
      <c r="A7591" t="s">
        <v>13162</v>
      </c>
      <c r="B7591">
        <v>22420</v>
      </c>
      <c r="C7591" t="s">
        <v>264</v>
      </c>
      <c r="D7591" t="s">
        <v>6267</v>
      </c>
    </row>
    <row r="7592" spans="1:4">
      <c r="A7592" t="s">
        <v>13163</v>
      </c>
      <c r="B7592">
        <v>22421</v>
      </c>
      <c r="C7592" t="s">
        <v>13164</v>
      </c>
      <c r="D7592" t="s">
        <v>6305</v>
      </c>
    </row>
    <row r="7593" spans="1:4">
      <c r="A7593" t="s">
        <v>13165</v>
      </c>
      <c r="B7593">
        <v>22422</v>
      </c>
      <c r="C7593" t="s">
        <v>264</v>
      </c>
      <c r="D7593" t="s">
        <v>6314</v>
      </c>
    </row>
    <row r="7594" spans="1:4">
      <c r="A7594" t="s">
        <v>13166</v>
      </c>
      <c r="B7594">
        <v>22423</v>
      </c>
      <c r="D7594" t="s">
        <v>6245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13167</v>
      </c>
      <c r="B7596">
        <v>22425</v>
      </c>
      <c r="C7596" t="s">
        <v>13168</v>
      </c>
      <c r="D7596" t="s">
        <v>6168</v>
      </c>
    </row>
    <row r="7597" spans="1:4">
      <c r="A7597" t="s">
        <v>13169</v>
      </c>
      <c r="B7597">
        <v>22426</v>
      </c>
      <c r="C7597" t="s">
        <v>13170</v>
      </c>
      <c r="D7597" t="s">
        <v>6168</v>
      </c>
    </row>
    <row r="7598" spans="1:4">
      <c r="A7598" t="s">
        <v>13171</v>
      </c>
      <c r="B7598">
        <v>22427</v>
      </c>
      <c r="C7598" t="s">
        <v>13172</v>
      </c>
      <c r="D7598" t="s">
        <v>6168</v>
      </c>
    </row>
    <row r="7599" spans="1:4">
      <c r="A7599" t="s">
        <v>13173</v>
      </c>
      <c r="B7599">
        <v>22428</v>
      </c>
      <c r="C7599" t="s">
        <v>13174</v>
      </c>
      <c r="D7599" t="s">
        <v>6267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13175</v>
      </c>
      <c r="B7601">
        <v>22430</v>
      </c>
      <c r="C7601" t="s">
        <v>13176</v>
      </c>
      <c r="D7601" t="s">
        <v>6168</v>
      </c>
    </row>
    <row r="7602" spans="1:4">
      <c r="A7602" t="s">
        <v>13177</v>
      </c>
      <c r="B7602">
        <v>22431</v>
      </c>
      <c r="C7602" t="s">
        <v>13176</v>
      </c>
      <c r="D7602" t="s">
        <v>6168</v>
      </c>
    </row>
    <row r="7603" spans="1:4">
      <c r="A7603" t="s">
        <v>13178</v>
      </c>
      <c r="B7603">
        <v>22432</v>
      </c>
      <c r="C7603" t="s">
        <v>6817</v>
      </c>
      <c r="D7603" t="s">
        <v>6168</v>
      </c>
    </row>
    <row r="7604" spans="1:4">
      <c r="A7604" t="s">
        <v>13179</v>
      </c>
      <c r="B7604">
        <v>22433</v>
      </c>
      <c r="C7604" t="s">
        <v>991</v>
      </c>
      <c r="D7604" t="s">
        <v>6168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13180</v>
      </c>
      <c r="B7606">
        <v>237</v>
      </c>
      <c r="C7606" t="s">
        <v>4950</v>
      </c>
      <c r="D7606" t="s">
        <v>6168</v>
      </c>
    </row>
    <row r="7607" spans="1:4">
      <c r="A7607" t="s">
        <v>13181</v>
      </c>
      <c r="B7607">
        <v>23182</v>
      </c>
      <c r="C7607" t="s">
        <v>8569</v>
      </c>
      <c r="D7607" t="s">
        <v>6245</v>
      </c>
    </row>
    <row r="7608" spans="1:4">
      <c r="A7608" t="s">
        <v>13182</v>
      </c>
      <c r="B7608">
        <v>22434</v>
      </c>
      <c r="D7608" t="s">
        <v>6243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13183</v>
      </c>
      <c r="B7611">
        <v>2960</v>
      </c>
      <c r="C7611" t="s">
        <v>13184</v>
      </c>
      <c r="D7611" t="s">
        <v>6168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13185</v>
      </c>
      <c r="B7613">
        <v>36196</v>
      </c>
      <c r="C7613" t="s">
        <v>1143</v>
      </c>
      <c r="D7613" t="s">
        <v>6168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13186</v>
      </c>
      <c r="B7615">
        <v>23840</v>
      </c>
      <c r="C7615" t="s">
        <v>8466</v>
      </c>
      <c r="D7615" t="s">
        <v>6168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13187</v>
      </c>
      <c r="B7617">
        <v>35217</v>
      </c>
      <c r="C7617" t="s">
        <v>2924</v>
      </c>
      <c r="D7617" t="s">
        <v>6168</v>
      </c>
    </row>
    <row r="7618" spans="1:4">
      <c r="A7618" t="s">
        <v>13188</v>
      </c>
      <c r="B7618">
        <v>30449</v>
      </c>
      <c r="C7618" t="s">
        <v>2924</v>
      </c>
      <c r="D7618" t="s">
        <v>6168</v>
      </c>
    </row>
    <row r="7619" spans="1:4">
      <c r="A7619" t="s">
        <v>13189</v>
      </c>
      <c r="B7619">
        <v>39695</v>
      </c>
      <c r="D7619" t="s">
        <v>6248</v>
      </c>
    </row>
    <row r="7620" spans="1:4">
      <c r="A7620" t="s">
        <v>13190</v>
      </c>
      <c r="B7620">
        <v>30477</v>
      </c>
      <c r="C7620" t="s">
        <v>2924</v>
      </c>
      <c r="D7620" t="s">
        <v>6168</v>
      </c>
    </row>
    <row r="7621" spans="1:4">
      <c r="A7621" t="s">
        <v>13191</v>
      </c>
      <c r="B7621">
        <v>24772</v>
      </c>
      <c r="C7621" t="s">
        <v>8005</v>
      </c>
      <c r="D7621" t="s">
        <v>6168</v>
      </c>
    </row>
    <row r="7622" spans="1:4">
      <c r="A7622" t="s">
        <v>13192</v>
      </c>
      <c r="B7622">
        <v>30476</v>
      </c>
      <c r="C7622" t="s">
        <v>2924</v>
      </c>
      <c r="D7622" t="s">
        <v>6168</v>
      </c>
    </row>
    <row r="7623" spans="1:4">
      <c r="A7623" t="s">
        <v>13193</v>
      </c>
      <c r="B7623">
        <v>30448</v>
      </c>
      <c r="C7623" t="s">
        <v>13194</v>
      </c>
      <c r="D7623" t="s">
        <v>6168</v>
      </c>
    </row>
    <row r="7624" spans="1:4">
      <c r="A7624" t="s">
        <v>13195</v>
      </c>
      <c r="B7624">
        <v>39486</v>
      </c>
      <c r="C7624" t="s">
        <v>2924</v>
      </c>
      <c r="D7624" t="s">
        <v>6267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13196</v>
      </c>
      <c r="B7627">
        <v>32539</v>
      </c>
      <c r="C7627" t="s">
        <v>13197</v>
      </c>
      <c r="D7627" t="s">
        <v>6168</v>
      </c>
    </row>
    <row r="7628" spans="1:4">
      <c r="A7628" t="s">
        <v>13198</v>
      </c>
      <c r="B7628">
        <v>32286</v>
      </c>
      <c r="C7628" t="s">
        <v>13199</v>
      </c>
      <c r="D7628" t="s">
        <v>6168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13200</v>
      </c>
      <c r="B7633">
        <v>31462</v>
      </c>
      <c r="C7633" t="s">
        <v>13201</v>
      </c>
      <c r="D7633" t="s">
        <v>6168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13202</v>
      </c>
      <c r="B7636">
        <v>901</v>
      </c>
      <c r="C7636" t="s">
        <v>13203</v>
      </c>
      <c r="D7636" t="s">
        <v>6168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13204</v>
      </c>
      <c r="B7638">
        <v>903</v>
      </c>
      <c r="C7638" t="s">
        <v>13205</v>
      </c>
      <c r="D7638" t="s">
        <v>6168</v>
      </c>
    </row>
    <row r="7639" spans="1:4">
      <c r="A7639" t="s">
        <v>13206</v>
      </c>
      <c r="B7639">
        <v>43167</v>
      </c>
      <c r="C7639" t="s">
        <v>13203</v>
      </c>
      <c r="D7639" t="s">
        <v>6168</v>
      </c>
    </row>
    <row r="7640" spans="1:4">
      <c r="A7640" t="s">
        <v>13207</v>
      </c>
      <c r="B7640">
        <v>904</v>
      </c>
      <c r="C7640" t="s">
        <v>13208</v>
      </c>
      <c r="D7640" t="s">
        <v>6168</v>
      </c>
    </row>
    <row r="7641" spans="1:4">
      <c r="A7641" t="s">
        <v>13209</v>
      </c>
      <c r="B7641">
        <v>905</v>
      </c>
      <c r="C7641" t="s">
        <v>13210</v>
      </c>
      <c r="D7641" t="s">
        <v>6168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17149</v>
      </c>
      <c r="B7643">
        <v>44449</v>
      </c>
      <c r="C7643" t="s">
        <v>17150</v>
      </c>
      <c r="D7643" t="s">
        <v>6168</v>
      </c>
    </row>
    <row r="7644" spans="1:4">
      <c r="A7644" t="s">
        <v>13211</v>
      </c>
      <c r="B7644">
        <v>35621</v>
      </c>
      <c r="C7644" t="s">
        <v>13212</v>
      </c>
      <c r="D7644" t="s">
        <v>6168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13213</v>
      </c>
      <c r="B7646">
        <v>43087</v>
      </c>
      <c r="C7646" t="s">
        <v>13214</v>
      </c>
      <c r="D7646" t="s">
        <v>6168</v>
      </c>
    </row>
    <row r="7647" spans="1:4">
      <c r="A7647" t="s">
        <v>17151</v>
      </c>
      <c r="B7647">
        <v>44450</v>
      </c>
      <c r="C7647" t="s">
        <v>17152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13215</v>
      </c>
      <c r="B7649">
        <v>22436</v>
      </c>
      <c r="C7649" t="s">
        <v>13216</v>
      </c>
      <c r="D7649" t="s">
        <v>6168</v>
      </c>
    </row>
    <row r="7650" spans="1:4">
      <c r="A7650" t="s">
        <v>13217</v>
      </c>
      <c r="B7650">
        <v>22437</v>
      </c>
      <c r="C7650" t="s">
        <v>13218</v>
      </c>
      <c r="D7650" t="s">
        <v>6168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13219</v>
      </c>
      <c r="B7652">
        <v>22439</v>
      </c>
      <c r="C7652" t="s">
        <v>4950</v>
      </c>
      <c r="D7652" t="s">
        <v>6168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13220</v>
      </c>
      <c r="B7654">
        <v>22441</v>
      </c>
      <c r="C7654" t="s">
        <v>6239</v>
      </c>
      <c r="D7654" t="s">
        <v>6168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13221</v>
      </c>
      <c r="B7656">
        <v>22443</v>
      </c>
      <c r="D7656" t="s">
        <v>6267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13222</v>
      </c>
      <c r="B7658">
        <v>2570</v>
      </c>
      <c r="C7658" t="s">
        <v>13223</v>
      </c>
      <c r="D7658" t="s">
        <v>6168</v>
      </c>
    </row>
    <row r="7659" spans="1:4">
      <c r="A7659" t="s">
        <v>13224</v>
      </c>
      <c r="B7659">
        <v>2571</v>
      </c>
      <c r="C7659" t="s">
        <v>13225</v>
      </c>
      <c r="D7659" t="s">
        <v>6168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13226</v>
      </c>
      <c r="B7661">
        <v>38749</v>
      </c>
      <c r="C7661" t="s">
        <v>13227</v>
      </c>
      <c r="D7661" t="s">
        <v>6168</v>
      </c>
    </row>
    <row r="7662" spans="1:4">
      <c r="A7662" t="s">
        <v>13228</v>
      </c>
      <c r="B7662">
        <v>29307</v>
      </c>
      <c r="C7662" t="s">
        <v>13229</v>
      </c>
      <c r="D7662" t="s">
        <v>6168</v>
      </c>
    </row>
    <row r="7663" spans="1:4">
      <c r="A7663" t="s">
        <v>13230</v>
      </c>
      <c r="B7663">
        <v>22444</v>
      </c>
      <c r="C7663" t="s">
        <v>5134</v>
      </c>
      <c r="D7663" t="s">
        <v>6245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13231</v>
      </c>
      <c r="B7665">
        <v>22445</v>
      </c>
      <c r="C7665" t="s">
        <v>4804</v>
      </c>
      <c r="D7665" t="s">
        <v>6267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13232</v>
      </c>
      <c r="B7667">
        <v>2421</v>
      </c>
      <c r="C7667" t="s">
        <v>11252</v>
      </c>
      <c r="D7667" t="s">
        <v>6168</v>
      </c>
    </row>
    <row r="7668" spans="1:4">
      <c r="A7668" t="s">
        <v>13233</v>
      </c>
      <c r="B7668">
        <v>2422</v>
      </c>
      <c r="C7668" t="s">
        <v>6689</v>
      </c>
      <c r="D7668" t="s">
        <v>6168</v>
      </c>
    </row>
    <row r="7669" spans="1:4">
      <c r="A7669" t="s">
        <v>13234</v>
      </c>
      <c r="B7669">
        <v>5126</v>
      </c>
      <c r="C7669" t="s">
        <v>10642</v>
      </c>
      <c r="D7669" t="s">
        <v>6168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13235</v>
      </c>
      <c r="B7671">
        <v>22447</v>
      </c>
      <c r="C7671" t="s">
        <v>549</v>
      </c>
      <c r="D7671" t="s">
        <v>6168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13236</v>
      </c>
      <c r="B7673">
        <v>25193</v>
      </c>
      <c r="C7673" t="s">
        <v>6672</v>
      </c>
      <c r="D7673" t="s">
        <v>6168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13237</v>
      </c>
      <c r="B7675">
        <v>326</v>
      </c>
      <c r="C7675" t="s">
        <v>6533</v>
      </c>
      <c r="D7675" t="s">
        <v>6168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13238</v>
      </c>
      <c r="B7678">
        <v>31172</v>
      </c>
      <c r="C7678" t="s">
        <v>11945</v>
      </c>
      <c r="D7678" t="s">
        <v>6168</v>
      </c>
    </row>
    <row r="7679" spans="1:4">
      <c r="A7679" t="s">
        <v>13239</v>
      </c>
      <c r="B7679">
        <v>31812</v>
      </c>
      <c r="C7679" t="s">
        <v>6558</v>
      </c>
      <c r="D7679" t="s">
        <v>6168</v>
      </c>
    </row>
    <row r="7680" spans="1:4">
      <c r="A7680" t="s">
        <v>16874</v>
      </c>
      <c r="B7680">
        <v>43940</v>
      </c>
      <c r="C7680" t="s">
        <v>14983</v>
      </c>
      <c r="D7680" t="s">
        <v>123</v>
      </c>
    </row>
    <row r="7681" spans="1:4">
      <c r="A7681" t="s">
        <v>16952</v>
      </c>
      <c r="B7681">
        <v>44020</v>
      </c>
      <c r="C7681" t="s">
        <v>16953</v>
      </c>
      <c r="D7681" t="s">
        <v>6168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13240</v>
      </c>
      <c r="B7683">
        <v>24775</v>
      </c>
      <c r="D7683" t="s">
        <v>6248</v>
      </c>
    </row>
    <row r="7684" spans="1:4">
      <c r="A7684" t="s">
        <v>13241</v>
      </c>
      <c r="B7684">
        <v>25194</v>
      </c>
      <c r="C7684" t="s">
        <v>13242</v>
      </c>
      <c r="D7684" t="s">
        <v>6168</v>
      </c>
    </row>
    <row r="7685" spans="1:4">
      <c r="A7685" t="s">
        <v>13243</v>
      </c>
      <c r="B7685">
        <v>30472</v>
      </c>
      <c r="C7685" t="s">
        <v>7430</v>
      </c>
      <c r="D7685" t="s">
        <v>6168</v>
      </c>
    </row>
    <row r="7686" spans="1:4">
      <c r="A7686" t="s">
        <v>17153</v>
      </c>
      <c r="B7686">
        <v>44451</v>
      </c>
      <c r="C7686" t="s">
        <v>17154</v>
      </c>
      <c r="D7686" t="s">
        <v>6168</v>
      </c>
    </row>
    <row r="7687" spans="1:4">
      <c r="A7687" t="s">
        <v>13244</v>
      </c>
      <c r="B7687">
        <v>24776</v>
      </c>
      <c r="C7687" t="s">
        <v>13245</v>
      </c>
      <c r="D7687" t="s">
        <v>6168</v>
      </c>
    </row>
    <row r="7688" spans="1:4">
      <c r="A7688" t="s">
        <v>17307</v>
      </c>
      <c r="B7688">
        <v>45396</v>
      </c>
      <c r="C7688" t="s">
        <v>680</v>
      </c>
      <c r="D7688" t="s">
        <v>6168</v>
      </c>
    </row>
    <row r="7689" spans="1:4">
      <c r="A7689" t="s">
        <v>13246</v>
      </c>
      <c r="B7689">
        <v>39687</v>
      </c>
      <c r="C7689" t="s">
        <v>13242</v>
      </c>
      <c r="D7689" t="s">
        <v>6168</v>
      </c>
    </row>
    <row r="7690" spans="1:4">
      <c r="A7690" t="s">
        <v>13247</v>
      </c>
      <c r="B7690">
        <v>24777</v>
      </c>
      <c r="C7690" t="s">
        <v>9923</v>
      </c>
      <c r="D7690" t="s">
        <v>6168</v>
      </c>
    </row>
    <row r="7691" spans="1:4">
      <c r="A7691" t="s">
        <v>13248</v>
      </c>
      <c r="B7691">
        <v>30471</v>
      </c>
      <c r="C7691" t="s">
        <v>13249</v>
      </c>
      <c r="D7691" t="s">
        <v>6168</v>
      </c>
    </row>
    <row r="7692" spans="1:4">
      <c r="A7692" t="s">
        <v>13250</v>
      </c>
      <c r="B7692">
        <v>30385</v>
      </c>
      <c r="C7692" t="s">
        <v>13251</v>
      </c>
      <c r="D7692" t="s">
        <v>6168</v>
      </c>
    </row>
    <row r="7693" spans="1:4">
      <c r="A7693" t="s">
        <v>13252</v>
      </c>
      <c r="B7693">
        <v>23095</v>
      </c>
      <c r="C7693" t="s">
        <v>4798</v>
      </c>
      <c r="D7693" t="s">
        <v>6267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13253</v>
      </c>
      <c r="B7696">
        <v>2721</v>
      </c>
      <c r="C7696" t="s">
        <v>1273</v>
      </c>
      <c r="D7696" t="s">
        <v>6168</v>
      </c>
    </row>
    <row r="7697" spans="1:4">
      <c r="A7697" t="s">
        <v>13254</v>
      </c>
      <c r="B7697">
        <v>2722</v>
      </c>
      <c r="C7697" t="s">
        <v>13255</v>
      </c>
      <c r="D7697" t="s">
        <v>6168</v>
      </c>
    </row>
    <row r="7698" spans="1:4">
      <c r="A7698" t="s">
        <v>13256</v>
      </c>
      <c r="B7698">
        <v>2723</v>
      </c>
      <c r="C7698" t="s">
        <v>13257</v>
      </c>
      <c r="D7698" t="s">
        <v>6168</v>
      </c>
    </row>
    <row r="7699" spans="1:4">
      <c r="A7699" t="s">
        <v>13258</v>
      </c>
      <c r="B7699">
        <v>2724</v>
      </c>
      <c r="C7699" t="s">
        <v>13259</v>
      </c>
      <c r="D7699" t="s">
        <v>6168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13260</v>
      </c>
      <c r="B7701">
        <v>23108</v>
      </c>
      <c r="C7701" t="s">
        <v>444</v>
      </c>
      <c r="D7701" t="s">
        <v>6267</v>
      </c>
    </row>
    <row r="7702" spans="1:4">
      <c r="A7702" t="s">
        <v>16747</v>
      </c>
      <c r="B7702">
        <v>43321</v>
      </c>
      <c r="C7702" t="s">
        <v>444</v>
      </c>
      <c r="D7702" t="s">
        <v>6305</v>
      </c>
    </row>
    <row r="7703" spans="1:4">
      <c r="A7703" t="s">
        <v>13261</v>
      </c>
      <c r="B7703">
        <v>22448</v>
      </c>
      <c r="D7703" t="s">
        <v>6314</v>
      </c>
    </row>
    <row r="7704" spans="1:4">
      <c r="A7704" t="s">
        <v>13262</v>
      </c>
      <c r="B7704">
        <v>34051</v>
      </c>
      <c r="C7704" t="s">
        <v>13263</v>
      </c>
      <c r="D7704" t="s">
        <v>6267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13264</v>
      </c>
      <c r="B7706">
        <v>29227</v>
      </c>
      <c r="C7706" t="s">
        <v>6554</v>
      </c>
      <c r="D7706" t="s">
        <v>6168</v>
      </c>
    </row>
    <row r="7707" spans="1:4">
      <c r="A7707" t="s">
        <v>13265</v>
      </c>
      <c r="B7707">
        <v>42791</v>
      </c>
      <c r="C7707" t="s">
        <v>6491</v>
      </c>
      <c r="D7707" t="s">
        <v>6168</v>
      </c>
    </row>
    <row r="7708" spans="1:4">
      <c r="A7708" t="s">
        <v>13266</v>
      </c>
      <c r="B7708">
        <v>39487</v>
      </c>
      <c r="D7708" t="s">
        <v>6267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13267</v>
      </c>
      <c r="B7710">
        <v>31463</v>
      </c>
      <c r="C7710" t="s">
        <v>2924</v>
      </c>
      <c r="D7710" t="s">
        <v>6168</v>
      </c>
    </row>
    <row r="7711" spans="1:4">
      <c r="A7711" t="s">
        <v>13268</v>
      </c>
      <c r="B7711">
        <v>3156</v>
      </c>
      <c r="C7711" t="s">
        <v>6908</v>
      </c>
      <c r="D7711" t="s">
        <v>6245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13269</v>
      </c>
      <c r="B7713">
        <v>40475</v>
      </c>
      <c r="C7713" t="s">
        <v>13270</v>
      </c>
      <c r="D7713" t="s">
        <v>6267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13271</v>
      </c>
      <c r="B7715">
        <v>31118</v>
      </c>
      <c r="C7715" t="s">
        <v>13272</v>
      </c>
      <c r="D7715" t="s">
        <v>6168</v>
      </c>
    </row>
    <row r="7716" spans="1:4">
      <c r="A7716" t="s">
        <v>13273</v>
      </c>
      <c r="B7716">
        <v>35744</v>
      </c>
      <c r="C7716" t="s">
        <v>2809</v>
      </c>
      <c r="D7716" t="s">
        <v>6168</v>
      </c>
    </row>
    <row r="7717" spans="1:4">
      <c r="A7717" t="s">
        <v>13274</v>
      </c>
      <c r="B7717">
        <v>38746</v>
      </c>
      <c r="C7717" t="s">
        <v>13275</v>
      </c>
      <c r="D7717" t="s">
        <v>6168</v>
      </c>
    </row>
    <row r="7718" spans="1:4">
      <c r="A7718" t="s">
        <v>17534</v>
      </c>
      <c r="B7718">
        <v>45953</v>
      </c>
      <c r="C7718" t="s">
        <v>7360</v>
      </c>
      <c r="D7718" t="s">
        <v>6168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13276</v>
      </c>
      <c r="B7720">
        <v>4123</v>
      </c>
      <c r="C7720" t="s">
        <v>4950</v>
      </c>
      <c r="D7720" t="s">
        <v>6168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13277</v>
      </c>
      <c r="B7722">
        <v>22450</v>
      </c>
      <c r="C7722" t="s">
        <v>13278</v>
      </c>
      <c r="D7722" t="s">
        <v>6168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13279</v>
      </c>
      <c r="B7725">
        <v>23842</v>
      </c>
      <c r="C7725" t="s">
        <v>13280</v>
      </c>
      <c r="D7725" t="s">
        <v>6168</v>
      </c>
    </row>
    <row r="7726" spans="1:4">
      <c r="A7726" t="s">
        <v>13281</v>
      </c>
      <c r="B7726">
        <v>23843</v>
      </c>
      <c r="C7726" t="s">
        <v>3207</v>
      </c>
      <c r="D7726" t="s">
        <v>6168</v>
      </c>
    </row>
    <row r="7727" spans="1:4">
      <c r="A7727" t="s">
        <v>13282</v>
      </c>
      <c r="B7727">
        <v>23844</v>
      </c>
      <c r="C7727" t="s">
        <v>4950</v>
      </c>
      <c r="D7727" t="s">
        <v>6168</v>
      </c>
    </row>
    <row r="7728" spans="1:4">
      <c r="A7728" t="s">
        <v>13283</v>
      </c>
      <c r="B7728">
        <v>23845</v>
      </c>
      <c r="C7728" t="s">
        <v>3332</v>
      </c>
      <c r="D7728" t="s">
        <v>6168</v>
      </c>
    </row>
    <row r="7729" spans="1:4">
      <c r="A7729" t="s">
        <v>13284</v>
      </c>
      <c r="B7729">
        <v>23846</v>
      </c>
      <c r="C7729" t="s">
        <v>13285</v>
      </c>
      <c r="D7729" t="s">
        <v>6168</v>
      </c>
    </row>
    <row r="7730" spans="1:4">
      <c r="A7730" t="s">
        <v>13286</v>
      </c>
      <c r="B7730">
        <v>22451</v>
      </c>
      <c r="C7730" t="s">
        <v>13287</v>
      </c>
      <c r="D7730" t="s">
        <v>6168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13288</v>
      </c>
      <c r="B7732">
        <v>22453</v>
      </c>
      <c r="C7732" t="s">
        <v>13289</v>
      </c>
      <c r="D7732" t="s">
        <v>6168</v>
      </c>
    </row>
    <row r="7733" spans="1:4">
      <c r="A7733" t="s">
        <v>13290</v>
      </c>
      <c r="B7733">
        <v>22454</v>
      </c>
      <c r="C7733" t="s">
        <v>13291</v>
      </c>
      <c r="D7733" t="s">
        <v>6168</v>
      </c>
    </row>
    <row r="7734" spans="1:4">
      <c r="A7734" t="s">
        <v>13292</v>
      </c>
      <c r="B7734">
        <v>30497</v>
      </c>
      <c r="C7734" t="s">
        <v>6219</v>
      </c>
      <c r="D7734" t="s">
        <v>6168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13293</v>
      </c>
      <c r="B7736">
        <v>34976</v>
      </c>
      <c r="C7736" t="s">
        <v>13294</v>
      </c>
      <c r="D7736" t="s">
        <v>6267</v>
      </c>
    </row>
    <row r="7737" spans="1:4">
      <c r="A7737" t="s">
        <v>13295</v>
      </c>
      <c r="B7737">
        <v>22456</v>
      </c>
      <c r="C7737" t="s">
        <v>13294</v>
      </c>
      <c r="D7737" t="s">
        <v>6314</v>
      </c>
    </row>
    <row r="7738" spans="1:4">
      <c r="A7738" t="s">
        <v>13296</v>
      </c>
      <c r="B7738">
        <v>39442</v>
      </c>
      <c r="C7738" t="s">
        <v>776</v>
      </c>
      <c r="D7738" t="s">
        <v>6245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13297</v>
      </c>
      <c r="B7740">
        <v>22458</v>
      </c>
      <c r="D7740" t="s">
        <v>6245</v>
      </c>
    </row>
    <row r="7741" spans="1:4">
      <c r="A7741" t="s">
        <v>13298</v>
      </c>
      <c r="B7741">
        <v>22459</v>
      </c>
      <c r="D7741" t="s">
        <v>6314</v>
      </c>
    </row>
    <row r="7742" spans="1:4">
      <c r="A7742" t="s">
        <v>13299</v>
      </c>
      <c r="B7742">
        <v>23250</v>
      </c>
      <c r="C7742" t="s">
        <v>13300</v>
      </c>
      <c r="D7742" t="s">
        <v>6605</v>
      </c>
    </row>
    <row r="7743" spans="1:4">
      <c r="A7743" t="s">
        <v>13301</v>
      </c>
      <c r="B7743">
        <v>22460</v>
      </c>
      <c r="C7743" t="s">
        <v>551</v>
      </c>
      <c r="D7743" t="s">
        <v>6245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13302</v>
      </c>
      <c r="B7745">
        <v>36195</v>
      </c>
      <c r="C7745" t="s">
        <v>6985</v>
      </c>
      <c r="D7745" t="s">
        <v>6168</v>
      </c>
    </row>
    <row r="7746" spans="1:4">
      <c r="A7746" t="s">
        <v>13303</v>
      </c>
      <c r="B7746">
        <v>30416</v>
      </c>
      <c r="C7746" t="s">
        <v>13304</v>
      </c>
      <c r="D7746" t="s">
        <v>6168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13305</v>
      </c>
      <c r="B7749">
        <v>2725</v>
      </c>
      <c r="C7749" t="s">
        <v>13306</v>
      </c>
      <c r="D7749" t="s">
        <v>6168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13307</v>
      </c>
      <c r="B7751">
        <v>4064</v>
      </c>
      <c r="C7751" t="s">
        <v>13308</v>
      </c>
      <c r="D7751" t="s">
        <v>6168</v>
      </c>
    </row>
    <row r="7752" spans="1:4">
      <c r="A7752" t="s">
        <v>13309</v>
      </c>
      <c r="B7752">
        <v>30724</v>
      </c>
      <c r="C7752" t="s">
        <v>13310</v>
      </c>
      <c r="D7752" t="s">
        <v>6168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13311</v>
      </c>
      <c r="B7754">
        <v>34052</v>
      </c>
      <c r="C7754" t="s">
        <v>13312</v>
      </c>
      <c r="D7754" t="s">
        <v>6168</v>
      </c>
    </row>
    <row r="7755" spans="1:4">
      <c r="A7755" t="s">
        <v>13313</v>
      </c>
      <c r="B7755">
        <v>25352</v>
      </c>
      <c r="C7755" t="s">
        <v>148</v>
      </c>
      <c r="D7755" t="s">
        <v>6168</v>
      </c>
    </row>
    <row r="7756" spans="1:4">
      <c r="A7756" t="s">
        <v>13314</v>
      </c>
      <c r="B7756">
        <v>34098</v>
      </c>
      <c r="C7756" t="s">
        <v>13315</v>
      </c>
      <c r="D7756" t="s">
        <v>6168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13316</v>
      </c>
      <c r="B7758">
        <v>40474</v>
      </c>
      <c r="C7758" t="s">
        <v>7221</v>
      </c>
      <c r="D7758" t="s">
        <v>6314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13317</v>
      </c>
      <c r="B7760">
        <v>41867</v>
      </c>
      <c r="C7760" t="s">
        <v>13318</v>
      </c>
      <c r="D7760" t="s">
        <v>6168</v>
      </c>
    </row>
    <row r="7761" spans="1:4">
      <c r="A7761" t="s">
        <v>13319</v>
      </c>
      <c r="B7761">
        <v>26122</v>
      </c>
      <c r="D7761" t="s">
        <v>6168</v>
      </c>
    </row>
    <row r="7762" spans="1:4">
      <c r="A7762" t="s">
        <v>13320</v>
      </c>
      <c r="B7762">
        <v>2953</v>
      </c>
      <c r="D7762" t="s">
        <v>6168</v>
      </c>
    </row>
    <row r="7763" spans="1:4">
      <c r="A7763" t="s">
        <v>13321</v>
      </c>
      <c r="B7763">
        <v>2950</v>
      </c>
      <c r="C7763" t="s">
        <v>13322</v>
      </c>
      <c r="D7763" t="s">
        <v>6168</v>
      </c>
    </row>
    <row r="7764" spans="1:4">
      <c r="A7764" t="s">
        <v>13323</v>
      </c>
      <c r="B7764">
        <v>35009</v>
      </c>
      <c r="C7764" t="s">
        <v>7316</v>
      </c>
      <c r="D7764" t="s">
        <v>6230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13324</v>
      </c>
      <c r="B7766">
        <v>29408</v>
      </c>
      <c r="C7766" t="s">
        <v>13325</v>
      </c>
      <c r="D7766" t="s">
        <v>6168</v>
      </c>
    </row>
    <row r="7767" spans="1:4">
      <c r="A7767" t="s">
        <v>13326</v>
      </c>
      <c r="B7767">
        <v>29407</v>
      </c>
      <c r="C7767" t="s">
        <v>4950</v>
      </c>
      <c r="D7767" t="s">
        <v>6168</v>
      </c>
    </row>
    <row r="7768" spans="1:4">
      <c r="A7768" t="s">
        <v>13327</v>
      </c>
      <c r="B7768">
        <v>26162</v>
      </c>
      <c r="C7768" t="s">
        <v>4950</v>
      </c>
      <c r="D7768" t="s">
        <v>6168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16954</v>
      </c>
      <c r="B7772">
        <v>44021</v>
      </c>
      <c r="C7772" t="s">
        <v>16955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13328</v>
      </c>
      <c r="B7774">
        <v>23847</v>
      </c>
      <c r="C7774" t="s">
        <v>4950</v>
      </c>
      <c r="D7774" t="s">
        <v>6168</v>
      </c>
    </row>
    <row r="7775" spans="1:4">
      <c r="A7775" t="s">
        <v>13329</v>
      </c>
      <c r="B7775">
        <v>34053</v>
      </c>
      <c r="C7775" t="s">
        <v>13330</v>
      </c>
      <c r="D7775" t="s">
        <v>6168</v>
      </c>
    </row>
    <row r="7776" spans="1:4">
      <c r="A7776" t="s">
        <v>13331</v>
      </c>
      <c r="B7776">
        <v>34969</v>
      </c>
      <c r="C7776" t="s">
        <v>13332</v>
      </c>
      <c r="D7776" t="s">
        <v>6267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13333</v>
      </c>
      <c r="B7778">
        <v>23063</v>
      </c>
      <c r="C7778" t="s">
        <v>13334</v>
      </c>
      <c r="D7778" t="s">
        <v>6305</v>
      </c>
    </row>
    <row r="7779" spans="1:4">
      <c r="A7779" t="s">
        <v>13335</v>
      </c>
      <c r="B7779">
        <v>22461</v>
      </c>
      <c r="C7779" t="s">
        <v>13174</v>
      </c>
      <c r="D7779" t="s">
        <v>6314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13336</v>
      </c>
      <c r="B7783">
        <v>29807</v>
      </c>
      <c r="C7783" t="s">
        <v>13337</v>
      </c>
      <c r="D7783" t="s">
        <v>6168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13338</v>
      </c>
      <c r="B7785">
        <v>29179</v>
      </c>
      <c r="C7785" t="s">
        <v>8314</v>
      </c>
      <c r="D7785" t="s">
        <v>6168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13339</v>
      </c>
      <c r="B7787">
        <v>38764</v>
      </c>
      <c r="C7787" t="s">
        <v>13340</v>
      </c>
      <c r="D7787" t="s">
        <v>6168</v>
      </c>
    </row>
    <row r="7788" spans="1:4">
      <c r="A7788" t="s">
        <v>13341</v>
      </c>
      <c r="B7788">
        <v>29406</v>
      </c>
      <c r="C7788" t="s">
        <v>13342</v>
      </c>
      <c r="D7788" t="s">
        <v>6168</v>
      </c>
    </row>
    <row r="7789" spans="1:4">
      <c r="A7789" t="s">
        <v>13343</v>
      </c>
      <c r="B7789">
        <v>29156</v>
      </c>
      <c r="C7789" t="s">
        <v>10952</v>
      </c>
      <c r="D7789" t="s">
        <v>6168</v>
      </c>
    </row>
    <row r="7790" spans="1:4">
      <c r="A7790" t="s">
        <v>13344</v>
      </c>
      <c r="B7790">
        <v>4088</v>
      </c>
      <c r="C7790" t="s">
        <v>13345</v>
      </c>
      <c r="D7790" t="s">
        <v>6243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13346</v>
      </c>
      <c r="B7792">
        <v>35631</v>
      </c>
      <c r="C7792" t="s">
        <v>13347</v>
      </c>
      <c r="D7792" t="s">
        <v>6168</v>
      </c>
    </row>
    <row r="7793" spans="1:4">
      <c r="A7793" t="s">
        <v>13348</v>
      </c>
      <c r="B7793">
        <v>23256</v>
      </c>
      <c r="C7793" t="s">
        <v>13349</v>
      </c>
      <c r="D7793" t="s">
        <v>6241</v>
      </c>
    </row>
    <row r="7794" spans="1:4">
      <c r="A7794" t="s">
        <v>13350</v>
      </c>
      <c r="B7794">
        <v>4596</v>
      </c>
      <c r="C7794" t="s">
        <v>1277</v>
      </c>
      <c r="D7794" t="s">
        <v>6245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13351</v>
      </c>
      <c r="B7796">
        <v>42922</v>
      </c>
      <c r="C7796" t="s">
        <v>13352</v>
      </c>
      <c r="D7796" t="s">
        <v>6243</v>
      </c>
    </row>
    <row r="7797" spans="1:4">
      <c r="A7797" t="s">
        <v>13353</v>
      </c>
      <c r="B7797">
        <v>43511</v>
      </c>
      <c r="C7797" t="s">
        <v>13354</v>
      </c>
      <c r="D7797" t="s">
        <v>6314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13355</v>
      </c>
      <c r="B7799">
        <v>43144</v>
      </c>
      <c r="C7799" t="s">
        <v>13356</v>
      </c>
      <c r="D7799" t="s">
        <v>6168</v>
      </c>
    </row>
    <row r="7800" spans="1:4">
      <c r="A7800" t="s">
        <v>13357</v>
      </c>
      <c r="B7800">
        <v>4091</v>
      </c>
      <c r="C7800" t="s">
        <v>3964</v>
      </c>
      <c r="D7800" t="s">
        <v>6168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13358</v>
      </c>
      <c r="B7802">
        <v>30439</v>
      </c>
      <c r="C7802" t="s">
        <v>264</v>
      </c>
      <c r="D7802" t="s">
        <v>6314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13359</v>
      </c>
      <c r="B7805">
        <v>43154</v>
      </c>
      <c r="C7805" t="s">
        <v>13360</v>
      </c>
      <c r="D7805" t="s">
        <v>6168</v>
      </c>
    </row>
    <row r="7806" spans="1:4">
      <c r="A7806" t="s">
        <v>13361</v>
      </c>
      <c r="B7806">
        <v>43155</v>
      </c>
      <c r="C7806" t="s">
        <v>8251</v>
      </c>
      <c r="D7806" t="s">
        <v>6168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13362</v>
      </c>
      <c r="B7808">
        <v>31772</v>
      </c>
      <c r="C7808" t="s">
        <v>13363</v>
      </c>
      <c r="D7808" t="s">
        <v>6168</v>
      </c>
    </row>
    <row r="7809" spans="1:4">
      <c r="A7809" t="s">
        <v>13364</v>
      </c>
      <c r="B7809">
        <v>31774</v>
      </c>
      <c r="C7809" t="s">
        <v>13365</v>
      </c>
      <c r="D7809" t="s">
        <v>6168</v>
      </c>
    </row>
    <row r="7810" spans="1:4">
      <c r="A7810" t="s">
        <v>13366</v>
      </c>
      <c r="B7810">
        <v>648</v>
      </c>
      <c r="D7810" t="s">
        <v>6245</v>
      </c>
    </row>
    <row r="7811" spans="1:4">
      <c r="A7811" t="s">
        <v>13367</v>
      </c>
      <c r="B7811">
        <v>22462</v>
      </c>
      <c r="C7811" t="s">
        <v>13368</v>
      </c>
      <c r="D7811" t="s">
        <v>6243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13369</v>
      </c>
      <c r="B7813">
        <v>23082</v>
      </c>
      <c r="C7813" t="s">
        <v>1563</v>
      </c>
      <c r="D7813" t="s">
        <v>6267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13370</v>
      </c>
      <c r="B7815">
        <v>340</v>
      </c>
      <c r="C7815" t="s">
        <v>8370</v>
      </c>
      <c r="D7815" t="s">
        <v>6168</v>
      </c>
    </row>
    <row r="7816" spans="1:4">
      <c r="A7816" t="s">
        <v>17131</v>
      </c>
      <c r="B7816">
        <v>44389</v>
      </c>
      <c r="C7816" t="s">
        <v>17132</v>
      </c>
      <c r="D7816" t="s">
        <v>134</v>
      </c>
    </row>
    <row r="7817" spans="1:4">
      <c r="A7817" t="s">
        <v>17155</v>
      </c>
      <c r="B7817">
        <v>44452</v>
      </c>
      <c r="C7817" t="s">
        <v>17156</v>
      </c>
      <c r="D7817" t="s">
        <v>123</v>
      </c>
    </row>
    <row r="7818" spans="1:4">
      <c r="A7818" t="s">
        <v>17188</v>
      </c>
      <c r="B7818">
        <v>44508</v>
      </c>
      <c r="C7818" t="s">
        <v>4950</v>
      </c>
      <c r="D7818" t="s">
        <v>6168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13371</v>
      </c>
      <c r="B7821">
        <v>26159</v>
      </c>
      <c r="C7821" t="s">
        <v>8084</v>
      </c>
      <c r="D7821" t="s">
        <v>6314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13372</v>
      </c>
      <c r="B7823">
        <v>29322</v>
      </c>
      <c r="C7823" t="s">
        <v>2918</v>
      </c>
      <c r="D7823" t="s">
        <v>6168</v>
      </c>
    </row>
    <row r="7824" spans="1:4">
      <c r="A7824" t="s">
        <v>13373</v>
      </c>
      <c r="B7824">
        <v>24996</v>
      </c>
      <c r="C7824" t="s">
        <v>13374</v>
      </c>
      <c r="D7824" t="s">
        <v>6168</v>
      </c>
    </row>
    <row r="7825" spans="1:4">
      <c r="A7825" t="s">
        <v>13375</v>
      </c>
      <c r="B7825">
        <v>23848</v>
      </c>
      <c r="C7825" t="s">
        <v>1338</v>
      </c>
      <c r="D7825" t="s">
        <v>6168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13376</v>
      </c>
      <c r="B7827">
        <v>35310</v>
      </c>
      <c r="C7827" t="s">
        <v>13377</v>
      </c>
      <c r="D7827" t="s">
        <v>6168</v>
      </c>
    </row>
    <row r="7828" spans="1:4">
      <c r="A7828" t="s">
        <v>13378</v>
      </c>
      <c r="B7828">
        <v>26158</v>
      </c>
      <c r="C7828" t="s">
        <v>13379</v>
      </c>
      <c r="D7828" t="s">
        <v>6168</v>
      </c>
    </row>
    <row r="7829" spans="1:4">
      <c r="A7829" t="s">
        <v>13380</v>
      </c>
      <c r="B7829">
        <v>42207</v>
      </c>
      <c r="C7829" t="s">
        <v>13381</v>
      </c>
      <c r="D7829" t="s">
        <v>6168</v>
      </c>
    </row>
    <row r="7830" spans="1:4">
      <c r="A7830" t="s">
        <v>13382</v>
      </c>
      <c r="B7830">
        <v>25196</v>
      </c>
      <c r="C7830" t="s">
        <v>13383</v>
      </c>
      <c r="D7830" t="s">
        <v>6168</v>
      </c>
    </row>
    <row r="7831" spans="1:4">
      <c r="A7831" t="s">
        <v>13384</v>
      </c>
      <c r="B7831">
        <v>23078</v>
      </c>
      <c r="C7831" t="s">
        <v>13385</v>
      </c>
      <c r="D7831" t="s">
        <v>6305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13386</v>
      </c>
      <c r="B7833">
        <v>2364</v>
      </c>
      <c r="C7833" t="s">
        <v>7124</v>
      </c>
      <c r="D7833" t="s">
        <v>6168</v>
      </c>
    </row>
    <row r="7834" spans="1:4">
      <c r="A7834" t="s">
        <v>13387</v>
      </c>
      <c r="B7834">
        <v>2365</v>
      </c>
      <c r="C7834" t="s">
        <v>6399</v>
      </c>
      <c r="D7834" t="s">
        <v>6168</v>
      </c>
    </row>
    <row r="7835" spans="1:4">
      <c r="A7835" t="s">
        <v>13388</v>
      </c>
      <c r="B7835">
        <v>5080</v>
      </c>
      <c r="C7835" t="s">
        <v>7124</v>
      </c>
      <c r="D7835" t="s">
        <v>6168</v>
      </c>
    </row>
    <row r="7836" spans="1:4">
      <c r="A7836" t="s">
        <v>13389</v>
      </c>
      <c r="B7836">
        <v>2366</v>
      </c>
      <c r="C7836" t="s">
        <v>13390</v>
      </c>
      <c r="D7836" t="s">
        <v>6168</v>
      </c>
    </row>
    <row r="7837" spans="1:4">
      <c r="A7837" t="s">
        <v>13391</v>
      </c>
      <c r="B7837">
        <v>2367</v>
      </c>
      <c r="C7837" t="s">
        <v>7329</v>
      </c>
      <c r="D7837" t="s">
        <v>6168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13392</v>
      </c>
      <c r="B7839">
        <v>20536</v>
      </c>
      <c r="C7839" t="s">
        <v>11971</v>
      </c>
      <c r="D7839" t="s">
        <v>6168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13393</v>
      </c>
      <c r="B7841">
        <v>38270</v>
      </c>
      <c r="C7841" t="s">
        <v>13394</v>
      </c>
      <c r="D7841" t="s">
        <v>6245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13395</v>
      </c>
      <c r="B7843">
        <v>2257</v>
      </c>
      <c r="C7843" t="s">
        <v>13396</v>
      </c>
      <c r="D7843" t="s">
        <v>6168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13397</v>
      </c>
      <c r="B7845">
        <v>29510</v>
      </c>
      <c r="C7845" t="s">
        <v>13398</v>
      </c>
      <c r="D7845" t="s">
        <v>6168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13399</v>
      </c>
      <c r="B7848">
        <v>23849</v>
      </c>
      <c r="C7848" t="s">
        <v>13383</v>
      </c>
      <c r="D7848" t="s">
        <v>6168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13400</v>
      </c>
      <c r="B7850">
        <v>25355</v>
      </c>
      <c r="C7850" t="s">
        <v>13401</v>
      </c>
      <c r="D7850" t="s">
        <v>6168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13402</v>
      </c>
      <c r="B7853">
        <v>34162</v>
      </c>
      <c r="C7853" t="s">
        <v>10111</v>
      </c>
      <c r="D7853" t="s">
        <v>6168</v>
      </c>
    </row>
    <row r="7854" spans="1:4">
      <c r="A7854" t="s">
        <v>13403</v>
      </c>
      <c r="B7854">
        <v>39833</v>
      </c>
      <c r="C7854" t="s">
        <v>11429</v>
      </c>
      <c r="D7854" t="s">
        <v>6168</v>
      </c>
    </row>
    <row r="7855" spans="1:4">
      <c r="A7855" t="s">
        <v>13404</v>
      </c>
      <c r="B7855">
        <v>22463</v>
      </c>
      <c r="D7855" t="s">
        <v>6314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13405</v>
      </c>
      <c r="B7857">
        <v>29683</v>
      </c>
      <c r="C7857" t="s">
        <v>13406</v>
      </c>
      <c r="D7857" t="s">
        <v>6168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17308</v>
      </c>
      <c r="B7859">
        <v>45397</v>
      </c>
      <c r="C7859" t="s">
        <v>14775</v>
      </c>
      <c r="D7859" t="s">
        <v>6168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13407</v>
      </c>
      <c r="B7862">
        <v>3792</v>
      </c>
      <c r="C7862" t="s">
        <v>7872</v>
      </c>
      <c r="D7862" t="s">
        <v>6168</v>
      </c>
    </row>
    <row r="7863" spans="1:4">
      <c r="A7863" t="s">
        <v>13408</v>
      </c>
      <c r="B7863">
        <v>3793</v>
      </c>
      <c r="C7863" t="s">
        <v>2323</v>
      </c>
      <c r="D7863" t="s">
        <v>6168</v>
      </c>
    </row>
    <row r="7864" spans="1:4">
      <c r="A7864" t="s">
        <v>13409</v>
      </c>
      <c r="B7864">
        <v>3794</v>
      </c>
      <c r="C7864" t="s">
        <v>3974</v>
      </c>
      <c r="D7864" t="s">
        <v>6168</v>
      </c>
    </row>
    <row r="7865" spans="1:4">
      <c r="A7865" t="s">
        <v>13410</v>
      </c>
      <c r="B7865">
        <v>30716</v>
      </c>
      <c r="C7865" t="s">
        <v>13411</v>
      </c>
      <c r="D7865" t="s">
        <v>6168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13412</v>
      </c>
      <c r="B7867">
        <v>933</v>
      </c>
      <c r="D7867" t="s">
        <v>6605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13413</v>
      </c>
      <c r="B7869">
        <v>22465</v>
      </c>
      <c r="C7869" t="s">
        <v>7124</v>
      </c>
      <c r="D7869" t="s">
        <v>6168</v>
      </c>
    </row>
    <row r="7870" spans="1:4">
      <c r="A7870" t="s">
        <v>13414</v>
      </c>
      <c r="B7870">
        <v>22466</v>
      </c>
      <c r="C7870" t="s">
        <v>8994</v>
      </c>
      <c r="D7870" t="s">
        <v>6168</v>
      </c>
    </row>
    <row r="7871" spans="1:4">
      <c r="A7871" t="s">
        <v>13415</v>
      </c>
      <c r="B7871">
        <v>22467</v>
      </c>
      <c r="C7871" t="s">
        <v>12214</v>
      </c>
      <c r="D7871" t="s">
        <v>6168</v>
      </c>
    </row>
    <row r="7872" spans="1:4">
      <c r="A7872" t="s">
        <v>13416</v>
      </c>
      <c r="B7872">
        <v>22468</v>
      </c>
      <c r="C7872" t="s">
        <v>825</v>
      </c>
      <c r="D7872" t="s">
        <v>6168</v>
      </c>
    </row>
    <row r="7873" spans="1:4">
      <c r="A7873" t="s">
        <v>13417</v>
      </c>
      <c r="B7873">
        <v>22469</v>
      </c>
      <c r="C7873" t="s">
        <v>13418</v>
      </c>
      <c r="D7873" t="s">
        <v>6168</v>
      </c>
    </row>
    <row r="7874" spans="1:4">
      <c r="A7874" t="s">
        <v>13419</v>
      </c>
      <c r="B7874">
        <v>22470</v>
      </c>
      <c r="C7874" t="s">
        <v>13420</v>
      </c>
      <c r="D7874" t="s">
        <v>6168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13421</v>
      </c>
      <c r="B7876">
        <v>32242</v>
      </c>
      <c r="C7876" t="s">
        <v>13422</v>
      </c>
      <c r="D7876" t="s">
        <v>6168</v>
      </c>
    </row>
    <row r="7877" spans="1:4">
      <c r="A7877" t="s">
        <v>13423</v>
      </c>
      <c r="B7877">
        <v>395</v>
      </c>
      <c r="C7877" t="s">
        <v>13424</v>
      </c>
      <c r="D7877" t="s">
        <v>6168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13425</v>
      </c>
      <c r="B7880">
        <v>264</v>
      </c>
      <c r="D7880" t="s">
        <v>6168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13426</v>
      </c>
      <c r="B7882">
        <v>261</v>
      </c>
      <c r="C7882" t="s">
        <v>6533</v>
      </c>
      <c r="D7882" t="s">
        <v>6168</v>
      </c>
    </row>
    <row r="7883" spans="1:4">
      <c r="A7883" t="s">
        <v>13427</v>
      </c>
      <c r="B7883">
        <v>39505</v>
      </c>
      <c r="C7883" t="s">
        <v>13428</v>
      </c>
      <c r="D7883" t="s">
        <v>12760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13429</v>
      </c>
      <c r="B7885">
        <v>257</v>
      </c>
      <c r="C7885" t="s">
        <v>4950</v>
      </c>
      <c r="D7885" t="s">
        <v>6168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13430</v>
      </c>
      <c r="B7889">
        <v>22472</v>
      </c>
      <c r="C7889" t="s">
        <v>13431</v>
      </c>
      <c r="D7889" t="s">
        <v>6168</v>
      </c>
    </row>
    <row r="7890" spans="1:4">
      <c r="A7890" t="s">
        <v>13432</v>
      </c>
      <c r="B7890">
        <v>22473</v>
      </c>
      <c r="C7890" t="s">
        <v>13433</v>
      </c>
      <c r="D7890" t="s">
        <v>6168</v>
      </c>
    </row>
    <row r="7891" spans="1:4">
      <c r="A7891" t="s">
        <v>13434</v>
      </c>
      <c r="B7891">
        <v>31474</v>
      </c>
      <c r="D7891" t="s">
        <v>6168</v>
      </c>
    </row>
    <row r="7892" spans="1:4">
      <c r="A7892" t="s">
        <v>16875</v>
      </c>
      <c r="B7892">
        <v>43942</v>
      </c>
      <c r="C7892" t="s">
        <v>16876</v>
      </c>
      <c r="D7892" t="s">
        <v>6168</v>
      </c>
    </row>
    <row r="7893" spans="1:4">
      <c r="A7893" t="s">
        <v>13435</v>
      </c>
      <c r="B7893">
        <v>22474</v>
      </c>
      <c r="C7893" t="s">
        <v>13436</v>
      </c>
      <c r="D7893" t="s">
        <v>6168</v>
      </c>
    </row>
    <row r="7894" spans="1:4">
      <c r="A7894" t="s">
        <v>13437</v>
      </c>
      <c r="B7894">
        <v>42792</v>
      </c>
      <c r="C7894" t="s">
        <v>13438</v>
      </c>
      <c r="D7894" t="s">
        <v>6168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13439</v>
      </c>
      <c r="B7896">
        <v>22476</v>
      </c>
      <c r="C7896" t="s">
        <v>13440</v>
      </c>
      <c r="D7896" t="s">
        <v>6168</v>
      </c>
    </row>
    <row r="7897" spans="1:4">
      <c r="A7897" t="s">
        <v>13441</v>
      </c>
      <c r="B7897">
        <v>22477</v>
      </c>
      <c r="C7897" t="s">
        <v>13442</v>
      </c>
      <c r="D7897" t="s">
        <v>6168</v>
      </c>
    </row>
    <row r="7898" spans="1:4">
      <c r="A7898" t="s">
        <v>13443</v>
      </c>
      <c r="B7898">
        <v>22478</v>
      </c>
      <c r="C7898" t="s">
        <v>6558</v>
      </c>
      <c r="D7898" t="s">
        <v>6168</v>
      </c>
    </row>
    <row r="7899" spans="1:4">
      <c r="A7899" t="s">
        <v>13444</v>
      </c>
      <c r="B7899">
        <v>22479</v>
      </c>
      <c r="C7899" t="s">
        <v>13445</v>
      </c>
      <c r="D7899" t="s">
        <v>6168</v>
      </c>
    </row>
    <row r="7900" spans="1:4">
      <c r="A7900" t="s">
        <v>17309</v>
      </c>
      <c r="B7900">
        <v>45398</v>
      </c>
      <c r="C7900" t="s">
        <v>3618</v>
      </c>
      <c r="D7900" t="s">
        <v>6168</v>
      </c>
    </row>
    <row r="7901" spans="1:4">
      <c r="A7901" t="s">
        <v>17467</v>
      </c>
      <c r="B7901">
        <v>45757</v>
      </c>
      <c r="C7901" t="s">
        <v>17468</v>
      </c>
      <c r="D7901" t="s">
        <v>6168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13446</v>
      </c>
      <c r="B7905">
        <v>22481</v>
      </c>
      <c r="C7905" t="s">
        <v>692</v>
      </c>
      <c r="D7905" t="s">
        <v>6267</v>
      </c>
    </row>
    <row r="7906" spans="1:4">
      <c r="A7906" t="s">
        <v>13447</v>
      </c>
      <c r="B7906">
        <v>22482</v>
      </c>
      <c r="C7906" t="s">
        <v>692</v>
      </c>
      <c r="D7906" t="s">
        <v>6314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13448</v>
      </c>
      <c r="B7908">
        <v>30701</v>
      </c>
      <c r="C7908" t="s">
        <v>2374</v>
      </c>
      <c r="D7908" t="s">
        <v>6168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13449</v>
      </c>
      <c r="B7913">
        <v>9781</v>
      </c>
      <c r="C7913" t="s">
        <v>13450</v>
      </c>
      <c r="D7913" t="s">
        <v>6168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13451</v>
      </c>
      <c r="B7915">
        <v>3812</v>
      </c>
      <c r="C7915" t="s">
        <v>7872</v>
      </c>
      <c r="D7915" t="s">
        <v>6168</v>
      </c>
    </row>
    <row r="7916" spans="1:4">
      <c r="A7916" t="s">
        <v>13452</v>
      </c>
      <c r="B7916">
        <v>3813</v>
      </c>
      <c r="C7916" t="s">
        <v>2844</v>
      </c>
      <c r="D7916" t="s">
        <v>6168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13453</v>
      </c>
      <c r="B7919">
        <v>40867</v>
      </c>
      <c r="C7919" t="s">
        <v>1206</v>
      </c>
      <c r="D7919" t="s">
        <v>6314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13454</v>
      </c>
      <c r="B7921">
        <v>38784</v>
      </c>
      <c r="C7921" t="s">
        <v>6689</v>
      </c>
      <c r="D7921" t="s">
        <v>6168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13455</v>
      </c>
      <c r="B7923">
        <v>30647</v>
      </c>
      <c r="C7923" t="s">
        <v>13456</v>
      </c>
      <c r="D7923" t="s">
        <v>6168</v>
      </c>
    </row>
    <row r="7924" spans="1:4">
      <c r="A7924" t="s">
        <v>13457</v>
      </c>
      <c r="B7924">
        <v>35282</v>
      </c>
      <c r="C7924" t="s">
        <v>4230</v>
      </c>
      <c r="D7924" t="s">
        <v>6168</v>
      </c>
    </row>
    <row r="7925" spans="1:4">
      <c r="A7925" t="s">
        <v>13458</v>
      </c>
      <c r="B7925">
        <v>35406</v>
      </c>
      <c r="C7925" t="s">
        <v>13459</v>
      </c>
      <c r="D7925" t="s">
        <v>6449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13460</v>
      </c>
      <c r="B7927">
        <v>29538</v>
      </c>
      <c r="C7927" t="s">
        <v>8397</v>
      </c>
      <c r="D7927" t="s">
        <v>6168</v>
      </c>
    </row>
    <row r="7928" spans="1:4">
      <c r="A7928" t="s">
        <v>13461</v>
      </c>
      <c r="B7928">
        <v>26157</v>
      </c>
      <c r="C7928" t="s">
        <v>444</v>
      </c>
      <c r="D7928" t="s">
        <v>6230</v>
      </c>
    </row>
    <row r="7929" spans="1:4">
      <c r="A7929" t="s">
        <v>13462</v>
      </c>
      <c r="B7929">
        <v>3141</v>
      </c>
      <c r="C7929" t="s">
        <v>444</v>
      </c>
      <c r="D7929" t="s">
        <v>6230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13463</v>
      </c>
      <c r="B7931">
        <v>29154</v>
      </c>
      <c r="C7931" t="s">
        <v>6194</v>
      </c>
      <c r="D7931" t="s">
        <v>6168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13464</v>
      </c>
      <c r="B7933">
        <v>34997</v>
      </c>
      <c r="D7933" t="s">
        <v>6267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17310</v>
      </c>
      <c r="B7935">
        <v>45399</v>
      </c>
      <c r="C7935" t="s">
        <v>17311</v>
      </c>
      <c r="D7935" t="s">
        <v>6168</v>
      </c>
    </row>
    <row r="7936" spans="1:4">
      <c r="A7936" t="s">
        <v>13465</v>
      </c>
      <c r="B7936">
        <v>24997</v>
      </c>
      <c r="C7936" t="s">
        <v>1128</v>
      </c>
      <c r="D7936" t="s">
        <v>6168</v>
      </c>
    </row>
    <row r="7937" spans="1:4">
      <c r="A7937" t="s">
        <v>13466</v>
      </c>
      <c r="B7937">
        <v>35227</v>
      </c>
      <c r="C7937" t="s">
        <v>13467</v>
      </c>
      <c r="D7937" t="s">
        <v>6168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13468</v>
      </c>
      <c r="B7939">
        <v>22484</v>
      </c>
      <c r="C7939" t="s">
        <v>13469</v>
      </c>
      <c r="D7939" t="s">
        <v>6168</v>
      </c>
    </row>
    <row r="7940" spans="1:4">
      <c r="A7940" t="s">
        <v>13470</v>
      </c>
      <c r="B7940">
        <v>22485</v>
      </c>
      <c r="C7940" t="s">
        <v>13471</v>
      </c>
      <c r="D7940" t="s">
        <v>6168</v>
      </c>
    </row>
    <row r="7941" spans="1:4">
      <c r="A7941" t="s">
        <v>13472</v>
      </c>
      <c r="B7941">
        <v>39760</v>
      </c>
      <c r="C7941" t="s">
        <v>13473</v>
      </c>
      <c r="D7941" t="s">
        <v>6230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13474</v>
      </c>
      <c r="B7943">
        <v>3154</v>
      </c>
      <c r="C7943" t="s">
        <v>6417</v>
      </c>
      <c r="D7943" t="s">
        <v>6168</v>
      </c>
    </row>
    <row r="7944" spans="1:4">
      <c r="A7944" t="s">
        <v>13475</v>
      </c>
      <c r="B7944">
        <v>2647</v>
      </c>
      <c r="C7944" t="s">
        <v>4950</v>
      </c>
      <c r="D7944" t="s">
        <v>6449</v>
      </c>
    </row>
    <row r="7945" spans="1:4">
      <c r="A7945" t="s">
        <v>13476</v>
      </c>
      <c r="B7945">
        <v>2648</v>
      </c>
      <c r="C7945" t="s">
        <v>6432</v>
      </c>
      <c r="D7945" t="s">
        <v>6449</v>
      </c>
    </row>
    <row r="7946" spans="1:4">
      <c r="A7946" t="s">
        <v>13477</v>
      </c>
      <c r="B7946">
        <v>2649</v>
      </c>
      <c r="C7946" t="s">
        <v>1675</v>
      </c>
      <c r="D7946" t="s">
        <v>6168</v>
      </c>
    </row>
    <row r="7947" spans="1:4">
      <c r="A7947" t="s">
        <v>13478</v>
      </c>
      <c r="B7947">
        <v>23329</v>
      </c>
      <c r="C7947" t="s">
        <v>1053</v>
      </c>
      <c r="D7947" t="s">
        <v>6292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13479</v>
      </c>
      <c r="B7949">
        <v>22487</v>
      </c>
      <c r="C7949" t="s">
        <v>9822</v>
      </c>
      <c r="D7949" t="s">
        <v>6168</v>
      </c>
    </row>
    <row r="7950" spans="1:4">
      <c r="A7950" t="s">
        <v>13480</v>
      </c>
      <c r="B7950">
        <v>22488</v>
      </c>
      <c r="C7950" t="s">
        <v>13481</v>
      </c>
      <c r="D7950" t="s">
        <v>6168</v>
      </c>
    </row>
    <row r="7951" spans="1:4">
      <c r="A7951" t="s">
        <v>13482</v>
      </c>
      <c r="B7951">
        <v>22489</v>
      </c>
      <c r="C7951" t="s">
        <v>9035</v>
      </c>
      <c r="D7951" t="s">
        <v>6168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13483</v>
      </c>
      <c r="B7953">
        <v>24783</v>
      </c>
      <c r="C7953" t="s">
        <v>1369</v>
      </c>
      <c r="D7953" t="s">
        <v>6168</v>
      </c>
    </row>
    <row r="7954" spans="1:4">
      <c r="A7954" t="s">
        <v>13484</v>
      </c>
      <c r="B7954">
        <v>29251</v>
      </c>
      <c r="C7954" t="s">
        <v>1899</v>
      </c>
      <c r="D7954" t="s">
        <v>6168</v>
      </c>
    </row>
    <row r="7955" spans="1:4">
      <c r="A7955" t="s">
        <v>13485</v>
      </c>
      <c r="B7955">
        <v>31362</v>
      </c>
      <c r="C7955" t="s">
        <v>13486</v>
      </c>
      <c r="D7955" t="s">
        <v>6168</v>
      </c>
    </row>
    <row r="7956" spans="1:4">
      <c r="A7956" t="s">
        <v>13487</v>
      </c>
      <c r="B7956">
        <v>35228</v>
      </c>
      <c r="C7956" t="s">
        <v>13488</v>
      </c>
      <c r="D7956" t="s">
        <v>6168</v>
      </c>
    </row>
    <row r="7957" spans="1:4">
      <c r="A7957" t="s">
        <v>13489</v>
      </c>
      <c r="B7957">
        <v>24784</v>
      </c>
      <c r="C7957" t="s">
        <v>10196</v>
      </c>
      <c r="D7957" t="s">
        <v>6168</v>
      </c>
    </row>
    <row r="7958" spans="1:4">
      <c r="A7958" t="s">
        <v>13490</v>
      </c>
      <c r="B7958">
        <v>24785</v>
      </c>
      <c r="C7958" t="s">
        <v>13491</v>
      </c>
      <c r="D7958" t="s">
        <v>6168</v>
      </c>
    </row>
    <row r="7959" spans="1:4">
      <c r="A7959" t="s">
        <v>13492</v>
      </c>
      <c r="B7959">
        <v>24786</v>
      </c>
      <c r="C7959" t="s">
        <v>13493</v>
      </c>
      <c r="D7959" t="s">
        <v>6168</v>
      </c>
    </row>
    <row r="7960" spans="1:4">
      <c r="A7960" t="s">
        <v>13494</v>
      </c>
      <c r="B7960">
        <v>24787</v>
      </c>
      <c r="C7960" t="s">
        <v>13118</v>
      </c>
      <c r="D7960" t="s">
        <v>6168</v>
      </c>
    </row>
    <row r="7961" spans="1:4">
      <c r="A7961" t="s">
        <v>13495</v>
      </c>
      <c r="B7961">
        <v>34055</v>
      </c>
      <c r="C7961" t="s">
        <v>13496</v>
      </c>
      <c r="D7961" t="s">
        <v>6168</v>
      </c>
    </row>
    <row r="7962" spans="1:4">
      <c r="A7962" t="s">
        <v>13497</v>
      </c>
      <c r="B7962">
        <v>23241</v>
      </c>
      <c r="C7962" t="s">
        <v>626</v>
      </c>
      <c r="D7962" t="s">
        <v>6245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13498</v>
      </c>
      <c r="B7964">
        <v>39488</v>
      </c>
      <c r="D7964" t="s">
        <v>6267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13499</v>
      </c>
      <c r="B7966">
        <v>34056</v>
      </c>
      <c r="C7966" t="s">
        <v>1346</v>
      </c>
      <c r="D7966" t="s">
        <v>6168</v>
      </c>
    </row>
    <row r="7967" spans="1:4">
      <c r="A7967" t="s">
        <v>13500</v>
      </c>
      <c r="B7967">
        <v>30698</v>
      </c>
      <c r="C7967" t="s">
        <v>10196</v>
      </c>
      <c r="D7967" t="s">
        <v>6168</v>
      </c>
    </row>
    <row r="7968" spans="1:4">
      <c r="A7968" t="s">
        <v>13501</v>
      </c>
      <c r="B7968">
        <v>30674</v>
      </c>
      <c r="C7968" t="s">
        <v>9640</v>
      </c>
      <c r="D7968" t="s">
        <v>6168</v>
      </c>
    </row>
    <row r="7969" spans="1:4">
      <c r="A7969" t="s">
        <v>13502</v>
      </c>
      <c r="B7969">
        <v>35229</v>
      </c>
      <c r="C7969" t="s">
        <v>13503</v>
      </c>
      <c r="D7969" t="s">
        <v>6168</v>
      </c>
    </row>
    <row r="7970" spans="1:4">
      <c r="A7970" t="s">
        <v>13504</v>
      </c>
      <c r="B7970">
        <v>39489</v>
      </c>
      <c r="D7970" t="s">
        <v>6267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13505</v>
      </c>
      <c r="B7976">
        <v>3006</v>
      </c>
      <c r="C7976" t="s">
        <v>9020</v>
      </c>
      <c r="D7976" t="s">
        <v>6168</v>
      </c>
    </row>
    <row r="7977" spans="1:4">
      <c r="A7977" t="s">
        <v>17157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13506</v>
      </c>
      <c r="B7979">
        <v>43514</v>
      </c>
      <c r="C7979" t="s">
        <v>13507</v>
      </c>
      <c r="D7979" t="s">
        <v>6248</v>
      </c>
    </row>
    <row r="7980" spans="1:4">
      <c r="A7980" t="s">
        <v>16877</v>
      </c>
      <c r="B7980">
        <v>43943</v>
      </c>
      <c r="C7980" t="s">
        <v>16878</v>
      </c>
      <c r="D7980" t="s">
        <v>6168</v>
      </c>
    </row>
    <row r="7981" spans="1:4">
      <c r="A7981" t="s">
        <v>13508</v>
      </c>
      <c r="B7981">
        <v>43515</v>
      </c>
      <c r="C7981" t="s">
        <v>13509</v>
      </c>
      <c r="D7981" t="s">
        <v>6168</v>
      </c>
    </row>
    <row r="7982" spans="1:4">
      <c r="A7982" t="s">
        <v>13510</v>
      </c>
      <c r="B7982">
        <v>43516</v>
      </c>
      <c r="C7982" t="s">
        <v>13509</v>
      </c>
      <c r="D7982" t="s">
        <v>6168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13511</v>
      </c>
      <c r="B7985">
        <v>29493</v>
      </c>
      <c r="C7985" t="s">
        <v>13512</v>
      </c>
      <c r="D7985" t="s">
        <v>6168</v>
      </c>
    </row>
    <row r="7986" spans="1:4">
      <c r="A7986" t="s">
        <v>13513</v>
      </c>
      <c r="B7986">
        <v>40472</v>
      </c>
      <c r="D7986" t="s">
        <v>6267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13514</v>
      </c>
      <c r="B7988">
        <v>35706</v>
      </c>
      <c r="C7988" t="s">
        <v>13515</v>
      </c>
      <c r="D7988" t="s">
        <v>6168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13516</v>
      </c>
      <c r="B7990">
        <v>30649</v>
      </c>
      <c r="C7990" t="s">
        <v>13517</v>
      </c>
      <c r="D7990" t="s">
        <v>6168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13518</v>
      </c>
      <c r="B7992">
        <v>30787</v>
      </c>
      <c r="C7992" t="s">
        <v>13519</v>
      </c>
      <c r="D7992" t="s">
        <v>6168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13520</v>
      </c>
      <c r="B7994">
        <v>39839</v>
      </c>
      <c r="C7994" t="s">
        <v>13521</v>
      </c>
      <c r="D7994" t="s">
        <v>6292</v>
      </c>
    </row>
    <row r="7995" spans="1:4">
      <c r="A7995" t="s">
        <v>13522</v>
      </c>
      <c r="B7995">
        <v>39651</v>
      </c>
      <c r="C7995" t="s">
        <v>1352</v>
      </c>
      <c r="D7995" t="s">
        <v>6267</v>
      </c>
    </row>
    <row r="7996" spans="1:4">
      <c r="A7996" t="s">
        <v>13523</v>
      </c>
      <c r="B7996">
        <v>34994</v>
      </c>
      <c r="C7996" t="s">
        <v>13524</v>
      </c>
      <c r="D7996" t="s">
        <v>6267</v>
      </c>
    </row>
    <row r="7997" spans="1:4">
      <c r="A7997" t="s">
        <v>13525</v>
      </c>
      <c r="B7997">
        <v>35408</v>
      </c>
      <c r="D7997" t="s">
        <v>6305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13526</v>
      </c>
      <c r="B7999">
        <v>25199</v>
      </c>
      <c r="C7999" t="s">
        <v>6297</v>
      </c>
      <c r="D7999" t="s">
        <v>6168</v>
      </c>
    </row>
    <row r="8000" spans="1:4">
      <c r="A8000" t="s">
        <v>13527</v>
      </c>
      <c r="B8000">
        <v>26154</v>
      </c>
      <c r="C8000" t="s">
        <v>10862</v>
      </c>
      <c r="D8000" t="s">
        <v>6168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13528</v>
      </c>
      <c r="B8002">
        <v>2646</v>
      </c>
      <c r="C8002" t="s">
        <v>13529</v>
      </c>
      <c r="D8002" t="s">
        <v>6168</v>
      </c>
    </row>
    <row r="8003" spans="1:4">
      <c r="A8003" t="s">
        <v>13530</v>
      </c>
      <c r="B8003">
        <v>25623</v>
      </c>
      <c r="C8003" t="s">
        <v>1711</v>
      </c>
      <c r="D8003" t="s">
        <v>6168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13531</v>
      </c>
      <c r="B8005">
        <v>30908</v>
      </c>
      <c r="C8005" t="s">
        <v>6330</v>
      </c>
      <c r="D8005" t="s">
        <v>6168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13532</v>
      </c>
      <c r="B8007">
        <v>30569</v>
      </c>
      <c r="C8007" t="s">
        <v>13533</v>
      </c>
      <c r="D8007" t="s">
        <v>6230</v>
      </c>
    </row>
    <row r="8008" spans="1:4">
      <c r="A8008" t="s">
        <v>16675</v>
      </c>
      <c r="B8008">
        <v>26424</v>
      </c>
      <c r="C8008" t="s">
        <v>6729</v>
      </c>
      <c r="D8008" t="s">
        <v>6248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13534</v>
      </c>
      <c r="B8011">
        <v>35135</v>
      </c>
      <c r="C8011" t="s">
        <v>11644</v>
      </c>
      <c r="D8011" t="s">
        <v>6168</v>
      </c>
    </row>
    <row r="8012" spans="1:4">
      <c r="A8012" t="s">
        <v>13535</v>
      </c>
      <c r="B8012">
        <v>29531</v>
      </c>
      <c r="C8012" t="s">
        <v>3349</v>
      </c>
      <c r="D8012" t="s">
        <v>6168</v>
      </c>
    </row>
    <row r="8013" spans="1:4">
      <c r="A8013" t="s">
        <v>13536</v>
      </c>
      <c r="B8013">
        <v>40471</v>
      </c>
      <c r="C8013" t="s">
        <v>4227</v>
      </c>
      <c r="D8013" t="s">
        <v>6267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13537</v>
      </c>
      <c r="B8015">
        <v>25200</v>
      </c>
      <c r="C8015" t="s">
        <v>11739</v>
      </c>
      <c r="D8015" t="s">
        <v>6168</v>
      </c>
    </row>
    <row r="8016" spans="1:4">
      <c r="A8016" t="s">
        <v>17575</v>
      </c>
      <c r="B8016">
        <v>46846</v>
      </c>
      <c r="C8016" t="s">
        <v>17576</v>
      </c>
      <c r="D8016" t="s">
        <v>6168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13538</v>
      </c>
      <c r="B8019">
        <v>24998</v>
      </c>
      <c r="C8019" t="s">
        <v>3334</v>
      </c>
      <c r="D8019" t="s">
        <v>6168</v>
      </c>
    </row>
    <row r="8020" spans="1:4">
      <c r="A8020" t="s">
        <v>13539</v>
      </c>
      <c r="B8020">
        <v>24999</v>
      </c>
      <c r="C8020" t="s">
        <v>4950</v>
      </c>
      <c r="D8020" t="s">
        <v>6168</v>
      </c>
    </row>
    <row r="8021" spans="1:4">
      <c r="A8021" t="s">
        <v>13540</v>
      </c>
      <c r="B8021">
        <v>38767</v>
      </c>
      <c r="C8021" t="s">
        <v>13541</v>
      </c>
      <c r="D8021" t="s">
        <v>6168</v>
      </c>
    </row>
    <row r="8022" spans="1:4">
      <c r="A8022" t="s">
        <v>13542</v>
      </c>
      <c r="B8022">
        <v>23367</v>
      </c>
      <c r="C8022" t="s">
        <v>13543</v>
      </c>
      <c r="D8022" t="s">
        <v>6245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13544</v>
      </c>
      <c r="B8024">
        <v>35125</v>
      </c>
      <c r="C8024" t="s">
        <v>1126</v>
      </c>
      <c r="D8024" t="s">
        <v>6230</v>
      </c>
    </row>
    <row r="8025" spans="1:4">
      <c r="A8025" t="s">
        <v>13545</v>
      </c>
      <c r="B8025">
        <v>39652</v>
      </c>
      <c r="C8025" t="s">
        <v>13546</v>
      </c>
      <c r="D8025" t="s">
        <v>6267</v>
      </c>
    </row>
    <row r="8026" spans="1:4">
      <c r="A8026" t="s">
        <v>13547</v>
      </c>
      <c r="B8026">
        <v>4182</v>
      </c>
      <c r="C8026" t="s">
        <v>624</v>
      </c>
      <c r="D8026" t="s">
        <v>6605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13548</v>
      </c>
      <c r="B8028">
        <v>29889</v>
      </c>
      <c r="C8028" t="s">
        <v>3550</v>
      </c>
      <c r="D8028" t="s">
        <v>6168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13549</v>
      </c>
      <c r="B8031">
        <v>4095</v>
      </c>
      <c r="C8031" t="s">
        <v>13550</v>
      </c>
      <c r="D8031" t="s">
        <v>6241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13551</v>
      </c>
      <c r="B8033">
        <v>39706</v>
      </c>
      <c r="C8033" t="s">
        <v>13552</v>
      </c>
      <c r="D8033" t="s">
        <v>6168</v>
      </c>
    </row>
    <row r="8034" spans="1:4">
      <c r="A8034" t="s">
        <v>13553</v>
      </c>
      <c r="B8034">
        <v>36194</v>
      </c>
      <c r="C8034" t="s">
        <v>1307</v>
      </c>
      <c r="D8034" t="s">
        <v>6168</v>
      </c>
    </row>
    <row r="8035" spans="1:4">
      <c r="A8035" t="s">
        <v>13554</v>
      </c>
      <c r="B8035">
        <v>36193</v>
      </c>
      <c r="C8035" t="s">
        <v>2633</v>
      </c>
      <c r="D8035" t="s">
        <v>6168</v>
      </c>
    </row>
    <row r="8036" spans="1:4">
      <c r="A8036" t="s">
        <v>13555</v>
      </c>
      <c r="B8036">
        <v>35657</v>
      </c>
      <c r="C8036" t="s">
        <v>13556</v>
      </c>
      <c r="D8036" t="s">
        <v>6168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17312</v>
      </c>
      <c r="B8038">
        <v>45400</v>
      </c>
      <c r="C8038" t="s">
        <v>17313</v>
      </c>
      <c r="D8038" t="s">
        <v>123</v>
      </c>
    </row>
    <row r="8039" spans="1:4">
      <c r="A8039" t="s">
        <v>17405</v>
      </c>
      <c r="B8039">
        <v>45494</v>
      </c>
      <c r="C8039" t="s">
        <v>8484</v>
      </c>
      <c r="D8039" t="s">
        <v>6168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13557</v>
      </c>
      <c r="B8041">
        <v>43517</v>
      </c>
      <c r="C8041" t="s">
        <v>6601</v>
      </c>
      <c r="D8041" t="s">
        <v>6168</v>
      </c>
    </row>
    <row r="8042" spans="1:4">
      <c r="A8042" t="s">
        <v>17469</v>
      </c>
      <c r="B8042">
        <v>45758</v>
      </c>
      <c r="C8042" t="s">
        <v>6601</v>
      </c>
      <c r="D8042" t="s">
        <v>6168</v>
      </c>
    </row>
    <row r="8043" spans="1:4">
      <c r="A8043" t="s">
        <v>17470</v>
      </c>
      <c r="B8043">
        <v>45759</v>
      </c>
      <c r="C8043" t="s">
        <v>17471</v>
      </c>
      <c r="D8043" t="s">
        <v>6168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13558</v>
      </c>
      <c r="B8045">
        <v>24791</v>
      </c>
      <c r="C8045" t="s">
        <v>2626</v>
      </c>
      <c r="D8045" t="s">
        <v>6248</v>
      </c>
    </row>
    <row r="8046" spans="1:4">
      <c r="A8046" t="s">
        <v>13559</v>
      </c>
      <c r="B8046">
        <v>31825</v>
      </c>
      <c r="C8046" t="s">
        <v>9698</v>
      </c>
      <c r="D8046" t="s">
        <v>6168</v>
      </c>
    </row>
    <row r="8047" spans="1:4">
      <c r="A8047" t="s">
        <v>13560</v>
      </c>
      <c r="B8047">
        <v>34099</v>
      </c>
      <c r="C8047" t="s">
        <v>4172</v>
      </c>
      <c r="D8047" t="s">
        <v>6248</v>
      </c>
    </row>
    <row r="8048" spans="1:4">
      <c r="A8048" t="s">
        <v>13561</v>
      </c>
      <c r="B8048">
        <v>34161</v>
      </c>
      <c r="C8048" t="s">
        <v>13562</v>
      </c>
      <c r="D8048" t="s">
        <v>6168</v>
      </c>
    </row>
    <row r="8049" spans="1:4">
      <c r="A8049" t="s">
        <v>13563</v>
      </c>
      <c r="B8049">
        <v>37798</v>
      </c>
      <c r="C8049" t="s">
        <v>13564</v>
      </c>
      <c r="D8049" t="s">
        <v>6168</v>
      </c>
    </row>
    <row r="8050" spans="1:4">
      <c r="A8050" t="s">
        <v>13565</v>
      </c>
      <c r="B8050">
        <v>23852</v>
      </c>
      <c r="C8050" t="s">
        <v>1128</v>
      </c>
      <c r="D8050" t="s">
        <v>6168</v>
      </c>
    </row>
    <row r="8051" spans="1:4">
      <c r="A8051" t="s">
        <v>13566</v>
      </c>
      <c r="B8051">
        <v>23853</v>
      </c>
      <c r="C8051" t="s">
        <v>12356</v>
      </c>
      <c r="D8051" t="s">
        <v>6168</v>
      </c>
    </row>
    <row r="8052" spans="1:4">
      <c r="A8052" t="s">
        <v>13567</v>
      </c>
      <c r="B8052">
        <v>23854</v>
      </c>
      <c r="C8052" t="s">
        <v>9698</v>
      </c>
      <c r="D8052" t="s">
        <v>6168</v>
      </c>
    </row>
    <row r="8053" spans="1:4">
      <c r="A8053" t="s">
        <v>13568</v>
      </c>
      <c r="B8053">
        <v>23237</v>
      </c>
      <c r="D8053" t="s">
        <v>6245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13569</v>
      </c>
      <c r="B8056">
        <v>5121</v>
      </c>
      <c r="C8056" t="s">
        <v>13570</v>
      </c>
      <c r="D8056" t="s">
        <v>6168</v>
      </c>
    </row>
    <row r="8057" spans="1:4">
      <c r="A8057" t="s">
        <v>13571</v>
      </c>
      <c r="B8057">
        <v>42934</v>
      </c>
      <c r="C8057" t="s">
        <v>6546</v>
      </c>
      <c r="D8057" t="s">
        <v>6168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13572</v>
      </c>
      <c r="B8059">
        <v>24792</v>
      </c>
      <c r="C8059" t="s">
        <v>6625</v>
      </c>
      <c r="D8059" t="s">
        <v>6168</v>
      </c>
    </row>
    <row r="8060" spans="1:4">
      <c r="A8060" t="s">
        <v>13573</v>
      </c>
      <c r="B8060">
        <v>26153</v>
      </c>
      <c r="C8060" t="s">
        <v>13574</v>
      </c>
      <c r="D8060" t="s">
        <v>6168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13575</v>
      </c>
      <c r="B8062">
        <v>26152</v>
      </c>
      <c r="C8062" t="s">
        <v>13576</v>
      </c>
      <c r="D8062" t="s">
        <v>6168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13577</v>
      </c>
      <c r="B8064">
        <v>31844</v>
      </c>
      <c r="C8064" t="s">
        <v>13578</v>
      </c>
      <c r="D8064" t="s">
        <v>6168</v>
      </c>
    </row>
    <row r="8065" spans="1:4">
      <c r="A8065" t="s">
        <v>13579</v>
      </c>
      <c r="B8065">
        <v>31843</v>
      </c>
      <c r="C8065" t="s">
        <v>13578</v>
      </c>
      <c r="D8065" t="s">
        <v>6168</v>
      </c>
    </row>
    <row r="8066" spans="1:4">
      <c r="A8066" t="s">
        <v>13580</v>
      </c>
      <c r="B8066">
        <v>871</v>
      </c>
      <c r="C8066" t="s">
        <v>13581</v>
      </c>
      <c r="D8066" t="s">
        <v>6168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16956</v>
      </c>
      <c r="B8068">
        <v>44022</v>
      </c>
      <c r="C8068" t="s">
        <v>13509</v>
      </c>
      <c r="D8068" t="s">
        <v>123</v>
      </c>
    </row>
    <row r="8069" spans="1:4">
      <c r="A8069" t="s">
        <v>16995</v>
      </c>
      <c r="B8069">
        <v>44252</v>
      </c>
      <c r="C8069" t="s">
        <v>4950</v>
      </c>
      <c r="D8069" t="s">
        <v>6168</v>
      </c>
    </row>
    <row r="8070" spans="1:4">
      <c r="A8070" t="s">
        <v>16879</v>
      </c>
      <c r="B8070">
        <v>43944</v>
      </c>
      <c r="C8070" t="s">
        <v>16880</v>
      </c>
      <c r="D8070" t="s">
        <v>134</v>
      </c>
    </row>
    <row r="8071" spans="1:4">
      <c r="A8071" t="s">
        <v>13582</v>
      </c>
      <c r="B8071">
        <v>22490</v>
      </c>
      <c r="C8071" t="s">
        <v>13583</v>
      </c>
      <c r="D8071" t="s">
        <v>6305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13584</v>
      </c>
      <c r="B8073">
        <v>516</v>
      </c>
      <c r="C8073" t="s">
        <v>6689</v>
      </c>
      <c r="D8073" t="s">
        <v>6168</v>
      </c>
    </row>
    <row r="8074" spans="1:4">
      <c r="A8074" t="s">
        <v>13585</v>
      </c>
      <c r="B8074">
        <v>2404</v>
      </c>
      <c r="C8074" t="s">
        <v>13586</v>
      </c>
      <c r="D8074" t="s">
        <v>6449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13587</v>
      </c>
      <c r="B8077">
        <v>2495</v>
      </c>
      <c r="C8077" t="s">
        <v>13588</v>
      </c>
      <c r="D8077" t="s">
        <v>6168</v>
      </c>
    </row>
    <row r="8078" spans="1:4">
      <c r="A8078" t="s">
        <v>13589</v>
      </c>
      <c r="B8078">
        <v>2496</v>
      </c>
      <c r="D8078" t="s">
        <v>6168</v>
      </c>
    </row>
    <row r="8079" spans="1:4">
      <c r="A8079" t="s">
        <v>13590</v>
      </c>
      <c r="B8079">
        <v>2497</v>
      </c>
      <c r="C8079" t="s">
        <v>13591</v>
      </c>
      <c r="D8079" t="s">
        <v>6168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13592</v>
      </c>
      <c r="B8083">
        <v>30402</v>
      </c>
      <c r="C8083" t="s">
        <v>10862</v>
      </c>
      <c r="D8083" t="s">
        <v>6168</v>
      </c>
    </row>
    <row r="8084" spans="1:4">
      <c r="A8084" t="s">
        <v>17314</v>
      </c>
      <c r="B8084">
        <v>45401</v>
      </c>
      <c r="C8084" t="s">
        <v>7755</v>
      </c>
      <c r="D8084" t="s">
        <v>6168</v>
      </c>
    </row>
    <row r="8085" spans="1:4">
      <c r="A8085" t="s">
        <v>17406</v>
      </c>
      <c r="B8085">
        <v>45495</v>
      </c>
      <c r="C8085" t="s">
        <v>17407</v>
      </c>
      <c r="D8085" t="s">
        <v>6449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13593</v>
      </c>
      <c r="B8088">
        <v>22492</v>
      </c>
      <c r="C8088" t="s">
        <v>6201</v>
      </c>
      <c r="D8088" t="s">
        <v>6168</v>
      </c>
    </row>
    <row r="8089" spans="1:4">
      <c r="A8089" t="s">
        <v>13594</v>
      </c>
      <c r="B8089">
        <v>22493</v>
      </c>
      <c r="C8089" t="s">
        <v>6201</v>
      </c>
      <c r="D8089" t="s">
        <v>6168</v>
      </c>
    </row>
    <row r="8090" spans="1:4">
      <c r="A8090" t="s">
        <v>13595</v>
      </c>
      <c r="B8090">
        <v>22494</v>
      </c>
      <c r="C8090" t="s">
        <v>8717</v>
      </c>
      <c r="D8090" t="s">
        <v>6168</v>
      </c>
    </row>
    <row r="8091" spans="1:4">
      <c r="A8091" t="s">
        <v>13596</v>
      </c>
      <c r="B8091">
        <v>22495</v>
      </c>
      <c r="C8091" t="s">
        <v>7834</v>
      </c>
      <c r="D8091" t="s">
        <v>6168</v>
      </c>
    </row>
    <row r="8092" spans="1:4">
      <c r="A8092" t="s">
        <v>13597</v>
      </c>
      <c r="B8092">
        <v>22496</v>
      </c>
      <c r="C8092" t="s">
        <v>9503</v>
      </c>
      <c r="D8092" t="s">
        <v>6168</v>
      </c>
    </row>
    <row r="8093" spans="1:4">
      <c r="A8093" t="s">
        <v>13598</v>
      </c>
      <c r="B8093">
        <v>22497</v>
      </c>
      <c r="C8093" t="s">
        <v>9505</v>
      </c>
      <c r="D8093" t="s">
        <v>6168</v>
      </c>
    </row>
    <row r="8094" spans="1:4">
      <c r="A8094" t="s">
        <v>13599</v>
      </c>
      <c r="B8094">
        <v>22498</v>
      </c>
      <c r="C8094" t="s">
        <v>13600</v>
      </c>
      <c r="D8094" t="s">
        <v>6168</v>
      </c>
    </row>
    <row r="8095" spans="1:4">
      <c r="A8095" t="s">
        <v>13601</v>
      </c>
      <c r="B8095">
        <v>22499</v>
      </c>
      <c r="C8095" t="s">
        <v>1903</v>
      </c>
      <c r="D8095" t="s">
        <v>6168</v>
      </c>
    </row>
    <row r="8096" spans="1:4">
      <c r="A8096" t="s">
        <v>13602</v>
      </c>
      <c r="B8096">
        <v>22500</v>
      </c>
      <c r="C8096" t="s">
        <v>1758</v>
      </c>
      <c r="D8096" t="s">
        <v>6168</v>
      </c>
    </row>
    <row r="8097" spans="1:4">
      <c r="A8097" t="s">
        <v>13603</v>
      </c>
      <c r="B8097">
        <v>22501</v>
      </c>
      <c r="C8097" t="s">
        <v>540</v>
      </c>
      <c r="D8097" t="s">
        <v>6168</v>
      </c>
    </row>
    <row r="8098" spans="1:4">
      <c r="A8098" t="s">
        <v>13604</v>
      </c>
      <c r="B8098">
        <v>22502</v>
      </c>
      <c r="C8098" t="s">
        <v>8992</v>
      </c>
      <c r="D8098" t="s">
        <v>6168</v>
      </c>
    </row>
    <row r="8099" spans="1:4">
      <c r="A8099" t="s">
        <v>13605</v>
      </c>
      <c r="B8099">
        <v>22503</v>
      </c>
      <c r="C8099" t="s">
        <v>13606</v>
      </c>
      <c r="D8099" t="s">
        <v>6168</v>
      </c>
    </row>
    <row r="8100" spans="1:4">
      <c r="A8100" t="s">
        <v>13607</v>
      </c>
      <c r="B8100">
        <v>27378</v>
      </c>
      <c r="C8100" t="s">
        <v>13608</v>
      </c>
      <c r="D8100" t="s">
        <v>6168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13609</v>
      </c>
      <c r="B8102">
        <v>2662</v>
      </c>
      <c r="C8102" t="s">
        <v>13610</v>
      </c>
      <c r="D8102" t="s">
        <v>6168</v>
      </c>
    </row>
    <row r="8103" spans="1:4">
      <c r="A8103" t="s">
        <v>13611</v>
      </c>
      <c r="B8103">
        <v>2663</v>
      </c>
      <c r="C8103" t="s">
        <v>13612</v>
      </c>
      <c r="D8103" t="s">
        <v>6168</v>
      </c>
    </row>
    <row r="8104" spans="1:4">
      <c r="A8104" t="s">
        <v>13613</v>
      </c>
      <c r="B8104">
        <v>2664</v>
      </c>
      <c r="C8104" t="s">
        <v>13614</v>
      </c>
      <c r="D8104" t="s">
        <v>6168</v>
      </c>
    </row>
    <row r="8105" spans="1:4">
      <c r="A8105" t="s">
        <v>13615</v>
      </c>
      <c r="B8105">
        <v>2665</v>
      </c>
      <c r="C8105" t="s">
        <v>4950</v>
      </c>
      <c r="D8105" t="s">
        <v>6168</v>
      </c>
    </row>
    <row r="8106" spans="1:4">
      <c r="A8106" t="s">
        <v>13616</v>
      </c>
      <c r="B8106">
        <v>2666</v>
      </c>
      <c r="C8106" t="s">
        <v>8251</v>
      </c>
      <c r="D8106" t="s">
        <v>6168</v>
      </c>
    </row>
    <row r="8107" spans="1:4">
      <c r="A8107" t="s">
        <v>13617</v>
      </c>
      <c r="B8107">
        <v>813</v>
      </c>
      <c r="D8107" t="s">
        <v>6267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13618</v>
      </c>
      <c r="B8109">
        <v>22504</v>
      </c>
      <c r="C8109" t="s">
        <v>9607</v>
      </c>
      <c r="D8109" t="s">
        <v>6241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13619</v>
      </c>
      <c r="B8111">
        <v>35435</v>
      </c>
      <c r="C8111" t="s">
        <v>13620</v>
      </c>
      <c r="D8111" t="s">
        <v>6168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13621</v>
      </c>
      <c r="B8113">
        <v>23604</v>
      </c>
      <c r="C8113" t="s">
        <v>13622</v>
      </c>
      <c r="D8113" t="s">
        <v>6168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13623</v>
      </c>
      <c r="B8116">
        <v>2277</v>
      </c>
      <c r="C8116" t="s">
        <v>11001</v>
      </c>
      <c r="D8116" t="s">
        <v>6168</v>
      </c>
    </row>
    <row r="8117" spans="1:4">
      <c r="A8117" t="s">
        <v>13624</v>
      </c>
      <c r="B8117">
        <v>2278</v>
      </c>
      <c r="C8117" t="s">
        <v>6760</v>
      </c>
      <c r="D8117" t="s">
        <v>6168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13625</v>
      </c>
      <c r="B8119">
        <v>22506</v>
      </c>
      <c r="C8119" t="s">
        <v>13626</v>
      </c>
      <c r="D8119" t="s">
        <v>6168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13627</v>
      </c>
      <c r="B8122">
        <v>29903</v>
      </c>
      <c r="C8122" t="s">
        <v>13628</v>
      </c>
      <c r="D8122" t="s">
        <v>6168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13629</v>
      </c>
      <c r="B8124">
        <v>29509</v>
      </c>
      <c r="C8124" t="s">
        <v>6851</v>
      </c>
      <c r="D8124" t="s">
        <v>6168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13630</v>
      </c>
      <c r="B8127">
        <v>2956</v>
      </c>
      <c r="C8127" t="s">
        <v>13631</v>
      </c>
      <c r="D8127" t="s">
        <v>6168</v>
      </c>
    </row>
    <row r="8128" spans="1:4">
      <c r="A8128" t="s">
        <v>13632</v>
      </c>
      <c r="B8128">
        <v>3170</v>
      </c>
      <c r="C8128" t="s">
        <v>444</v>
      </c>
      <c r="D8128" t="s">
        <v>6605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13633</v>
      </c>
      <c r="B8130">
        <v>38254</v>
      </c>
      <c r="C8130" t="s">
        <v>3355</v>
      </c>
      <c r="D8130" t="s">
        <v>6168</v>
      </c>
    </row>
    <row r="8131" spans="1:4">
      <c r="A8131" t="s">
        <v>13634</v>
      </c>
      <c r="B8131">
        <v>38255</v>
      </c>
      <c r="C8131" t="s">
        <v>13635</v>
      </c>
      <c r="D8131" t="s">
        <v>6168</v>
      </c>
    </row>
    <row r="8132" spans="1:4">
      <c r="A8132" t="s">
        <v>13636</v>
      </c>
      <c r="B8132">
        <v>3564</v>
      </c>
      <c r="C8132" t="s">
        <v>1273</v>
      </c>
      <c r="D8132" t="s">
        <v>6168</v>
      </c>
    </row>
    <row r="8133" spans="1:4">
      <c r="A8133" t="s">
        <v>13637</v>
      </c>
      <c r="B8133">
        <v>31814</v>
      </c>
      <c r="C8133" t="s">
        <v>13638</v>
      </c>
      <c r="D8133" t="s">
        <v>6168</v>
      </c>
    </row>
    <row r="8134" spans="1:4">
      <c r="A8134" t="s">
        <v>13639</v>
      </c>
      <c r="B8134">
        <v>38256</v>
      </c>
      <c r="C8134" t="s">
        <v>13640</v>
      </c>
      <c r="D8134" t="s">
        <v>6168</v>
      </c>
    </row>
    <row r="8135" spans="1:4">
      <c r="A8135" t="s">
        <v>13641</v>
      </c>
      <c r="B8135">
        <v>38257</v>
      </c>
      <c r="C8135" t="s">
        <v>9033</v>
      </c>
      <c r="D8135" t="s">
        <v>6168</v>
      </c>
    </row>
    <row r="8136" spans="1:4">
      <c r="A8136" t="s">
        <v>13642</v>
      </c>
      <c r="B8136">
        <v>38258</v>
      </c>
      <c r="C8136" t="s">
        <v>13643</v>
      </c>
      <c r="D8136" t="s">
        <v>6168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13644</v>
      </c>
      <c r="B8138">
        <v>22507</v>
      </c>
      <c r="C8138" t="s">
        <v>264</v>
      </c>
      <c r="D8138" t="s">
        <v>6267</v>
      </c>
    </row>
    <row r="8139" spans="1:4">
      <c r="A8139" t="s">
        <v>13645</v>
      </c>
      <c r="B8139">
        <v>4227</v>
      </c>
      <c r="D8139" t="s">
        <v>6245</v>
      </c>
    </row>
    <row r="8140" spans="1:4">
      <c r="A8140" t="s">
        <v>13646</v>
      </c>
      <c r="B8140">
        <v>22508</v>
      </c>
      <c r="C8140" t="s">
        <v>264</v>
      </c>
      <c r="D8140" t="s">
        <v>6314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13647</v>
      </c>
      <c r="B8142">
        <v>22510</v>
      </c>
      <c r="C8142" t="s">
        <v>13638</v>
      </c>
      <c r="D8142" t="s">
        <v>6168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13648</v>
      </c>
      <c r="B8144">
        <v>30351</v>
      </c>
      <c r="C8144" t="s">
        <v>13649</v>
      </c>
      <c r="D8144" t="s">
        <v>6168</v>
      </c>
    </row>
    <row r="8145" spans="1:4">
      <c r="A8145" t="s">
        <v>13650</v>
      </c>
      <c r="B8145">
        <v>31080</v>
      </c>
      <c r="C8145" t="s">
        <v>7039</v>
      </c>
      <c r="D8145" t="s">
        <v>6168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13651</v>
      </c>
      <c r="B8147">
        <v>2560</v>
      </c>
      <c r="C8147" t="s">
        <v>13652</v>
      </c>
      <c r="D8147" t="s">
        <v>6168</v>
      </c>
    </row>
    <row r="8148" spans="1:4">
      <c r="A8148" t="s">
        <v>13653</v>
      </c>
      <c r="B8148">
        <v>2561</v>
      </c>
      <c r="C8148" t="s">
        <v>13654</v>
      </c>
      <c r="D8148" t="s">
        <v>6168</v>
      </c>
    </row>
    <row r="8149" spans="1:4">
      <c r="A8149" t="s">
        <v>13655</v>
      </c>
      <c r="B8149">
        <v>2562</v>
      </c>
      <c r="C8149" t="s">
        <v>13656</v>
      </c>
      <c r="D8149" t="s">
        <v>6168</v>
      </c>
    </row>
    <row r="8150" spans="1:4">
      <c r="A8150" t="s">
        <v>13657</v>
      </c>
      <c r="B8150">
        <v>2563</v>
      </c>
      <c r="C8150" t="s">
        <v>13658</v>
      </c>
      <c r="D8150" t="s">
        <v>6168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13659</v>
      </c>
      <c r="B8152">
        <v>41691</v>
      </c>
      <c r="C8152" t="s">
        <v>6330</v>
      </c>
      <c r="D8152" t="s">
        <v>6168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13660</v>
      </c>
      <c r="B8154">
        <v>30765</v>
      </c>
      <c r="C8154" t="s">
        <v>6330</v>
      </c>
      <c r="D8154" t="s">
        <v>6168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13661</v>
      </c>
      <c r="B8156">
        <v>24794</v>
      </c>
      <c r="C8156" t="s">
        <v>13662</v>
      </c>
      <c r="D8156" t="s">
        <v>6168</v>
      </c>
    </row>
    <row r="8157" spans="1:4">
      <c r="A8157" t="s">
        <v>13663</v>
      </c>
      <c r="B8157">
        <v>23245</v>
      </c>
      <c r="C8157" t="s">
        <v>4698</v>
      </c>
      <c r="D8157" t="s">
        <v>6292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13664</v>
      </c>
      <c r="B8160">
        <v>22512</v>
      </c>
      <c r="C8160" t="s">
        <v>792</v>
      </c>
      <c r="D8160" t="s">
        <v>6168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13665</v>
      </c>
      <c r="B8163">
        <v>36260</v>
      </c>
      <c r="C8163" t="s">
        <v>13666</v>
      </c>
      <c r="D8163" t="s">
        <v>6168</v>
      </c>
    </row>
    <row r="8164" spans="1:4">
      <c r="A8164" t="s">
        <v>13667</v>
      </c>
      <c r="B8164">
        <v>36261</v>
      </c>
      <c r="C8164" t="s">
        <v>3109</v>
      </c>
      <c r="D8164" t="s">
        <v>6168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13668</v>
      </c>
      <c r="B8166">
        <v>2281</v>
      </c>
      <c r="C8166" t="s">
        <v>13669</v>
      </c>
      <c r="D8166" t="s">
        <v>6168</v>
      </c>
    </row>
    <row r="8167" spans="1:4">
      <c r="A8167" t="s">
        <v>13670</v>
      </c>
      <c r="B8167">
        <v>32543</v>
      </c>
      <c r="C8167" t="s">
        <v>13671</v>
      </c>
      <c r="D8167" t="s">
        <v>6168</v>
      </c>
    </row>
    <row r="8168" spans="1:4">
      <c r="A8168" t="s">
        <v>13672</v>
      </c>
      <c r="B8168">
        <v>2280</v>
      </c>
      <c r="C8168" t="s">
        <v>6568</v>
      </c>
      <c r="D8168" t="s">
        <v>6168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13673</v>
      </c>
      <c r="B8170">
        <v>692</v>
      </c>
      <c r="C8170" t="s">
        <v>13674</v>
      </c>
      <c r="D8170" t="s">
        <v>6168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13675</v>
      </c>
      <c r="B8172">
        <v>36466</v>
      </c>
      <c r="C8172" t="s">
        <v>13676</v>
      </c>
      <c r="D8172" t="s">
        <v>6168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13677</v>
      </c>
      <c r="B8174">
        <v>41597</v>
      </c>
      <c r="C8174" t="s">
        <v>13678</v>
      </c>
      <c r="D8174" t="s">
        <v>6168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13679</v>
      </c>
      <c r="B8176">
        <v>22514</v>
      </c>
      <c r="C8176" t="s">
        <v>885</v>
      </c>
      <c r="D8176" t="s">
        <v>6168</v>
      </c>
    </row>
    <row r="8177" spans="1:4">
      <c r="A8177" t="s">
        <v>13680</v>
      </c>
      <c r="B8177">
        <v>22515</v>
      </c>
      <c r="C8177" t="s">
        <v>13681</v>
      </c>
      <c r="D8177" t="s">
        <v>6168</v>
      </c>
    </row>
    <row r="8178" spans="1:4">
      <c r="A8178" t="s">
        <v>13682</v>
      </c>
      <c r="B8178">
        <v>31880</v>
      </c>
      <c r="C8178" t="s">
        <v>13683</v>
      </c>
      <c r="D8178" t="s">
        <v>6168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13684</v>
      </c>
      <c r="B8183">
        <v>23858</v>
      </c>
      <c r="C8183" t="s">
        <v>8630</v>
      </c>
      <c r="D8183" t="s">
        <v>6168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13685</v>
      </c>
      <c r="B8185">
        <v>111</v>
      </c>
      <c r="C8185" t="s">
        <v>13686</v>
      </c>
      <c r="D8185" t="s">
        <v>6168</v>
      </c>
    </row>
    <row r="8186" spans="1:4">
      <c r="A8186" t="s">
        <v>13687</v>
      </c>
      <c r="B8186">
        <v>112</v>
      </c>
      <c r="C8186" t="s">
        <v>13688</v>
      </c>
      <c r="D8186" t="s">
        <v>6168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13689</v>
      </c>
      <c r="B8188">
        <v>29682</v>
      </c>
      <c r="C8188" t="s">
        <v>13690</v>
      </c>
      <c r="D8188" t="s">
        <v>6168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13691</v>
      </c>
      <c r="B8190">
        <v>41598</v>
      </c>
      <c r="C8190" t="s">
        <v>6214</v>
      </c>
      <c r="D8190" t="s">
        <v>6168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13692</v>
      </c>
      <c r="B8192">
        <v>873</v>
      </c>
      <c r="C8192" t="s">
        <v>8072</v>
      </c>
      <c r="D8192" t="s">
        <v>6168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13693</v>
      </c>
      <c r="B8194">
        <v>20557</v>
      </c>
      <c r="C8194" t="s">
        <v>13694</v>
      </c>
      <c r="D8194" t="s">
        <v>6168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13695</v>
      </c>
      <c r="B8197">
        <v>34970</v>
      </c>
      <c r="C8197" t="s">
        <v>13696</v>
      </c>
      <c r="D8197" t="s">
        <v>6267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13697</v>
      </c>
      <c r="B8200">
        <v>30641</v>
      </c>
      <c r="C8200" t="s">
        <v>2374</v>
      </c>
      <c r="D8200" t="s">
        <v>6168</v>
      </c>
    </row>
    <row r="8201" spans="1:4">
      <c r="A8201" t="s">
        <v>13698</v>
      </c>
      <c r="B8201">
        <v>30632</v>
      </c>
      <c r="C8201" t="s">
        <v>13699</v>
      </c>
      <c r="D8201" t="s">
        <v>6168</v>
      </c>
    </row>
    <row r="8202" spans="1:4">
      <c r="A8202" t="s">
        <v>13700</v>
      </c>
      <c r="B8202">
        <v>23332</v>
      </c>
      <c r="C8202" t="s">
        <v>444</v>
      </c>
      <c r="D8202" t="s">
        <v>6314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13701</v>
      </c>
      <c r="B8204">
        <v>3940</v>
      </c>
      <c r="C8204" t="s">
        <v>1273</v>
      </c>
      <c r="D8204" t="s">
        <v>6168</v>
      </c>
    </row>
    <row r="8205" spans="1:4">
      <c r="A8205" t="s">
        <v>13702</v>
      </c>
      <c r="B8205">
        <v>26150</v>
      </c>
      <c r="C8205" t="s">
        <v>13703</v>
      </c>
      <c r="D8205" t="s">
        <v>6168</v>
      </c>
    </row>
    <row r="8206" spans="1:4">
      <c r="A8206" t="s">
        <v>13704</v>
      </c>
      <c r="B8206">
        <v>31060</v>
      </c>
      <c r="C8206" t="s">
        <v>13705</v>
      </c>
      <c r="D8206" t="s">
        <v>6168</v>
      </c>
    </row>
    <row r="8207" spans="1:4">
      <c r="A8207" t="s">
        <v>13706</v>
      </c>
      <c r="B8207">
        <v>3941</v>
      </c>
      <c r="C8207" t="s">
        <v>13707</v>
      </c>
      <c r="D8207" t="s">
        <v>6168</v>
      </c>
    </row>
    <row r="8208" spans="1:4">
      <c r="A8208" t="s">
        <v>13708</v>
      </c>
      <c r="B8208">
        <v>26149</v>
      </c>
      <c r="C8208" t="s">
        <v>13709</v>
      </c>
      <c r="D8208" t="s">
        <v>6168</v>
      </c>
    </row>
    <row r="8209" spans="1:4">
      <c r="A8209" t="s">
        <v>13710</v>
      </c>
      <c r="B8209">
        <v>25651</v>
      </c>
      <c r="C8209" t="s">
        <v>409</v>
      </c>
      <c r="D8209" t="s">
        <v>6168</v>
      </c>
    </row>
    <row r="8210" spans="1:4">
      <c r="A8210" t="s">
        <v>13711</v>
      </c>
      <c r="B8210">
        <v>3942</v>
      </c>
      <c r="C8210" t="s">
        <v>409</v>
      </c>
      <c r="D8210" t="s">
        <v>6168</v>
      </c>
    </row>
    <row r="8211" spans="1:4">
      <c r="A8211" t="s">
        <v>13712</v>
      </c>
      <c r="B8211">
        <v>3943</v>
      </c>
      <c r="C8211" t="s">
        <v>5098</v>
      </c>
      <c r="D8211" t="s">
        <v>6168</v>
      </c>
    </row>
    <row r="8212" spans="1:4">
      <c r="A8212" t="s">
        <v>13713</v>
      </c>
      <c r="B8212">
        <v>26148</v>
      </c>
      <c r="C8212" t="s">
        <v>13714</v>
      </c>
      <c r="D8212" t="s">
        <v>6168</v>
      </c>
    </row>
    <row r="8213" spans="1:4">
      <c r="A8213" t="s">
        <v>13715</v>
      </c>
      <c r="B8213">
        <v>27271</v>
      </c>
      <c r="C8213" t="s">
        <v>9363</v>
      </c>
      <c r="D8213" t="s">
        <v>6168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13716</v>
      </c>
      <c r="B8215">
        <v>22517</v>
      </c>
      <c r="C8215" t="s">
        <v>13176</v>
      </c>
      <c r="D8215" t="s">
        <v>6168</v>
      </c>
    </row>
    <row r="8216" spans="1:4">
      <c r="A8216" t="s">
        <v>13717</v>
      </c>
      <c r="B8216">
        <v>22518</v>
      </c>
      <c r="C8216" t="s">
        <v>573</v>
      </c>
      <c r="D8216" t="s">
        <v>6267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13718</v>
      </c>
      <c r="B8218">
        <v>25821</v>
      </c>
      <c r="C8218" t="s">
        <v>13719</v>
      </c>
      <c r="D8218" t="s">
        <v>6168</v>
      </c>
    </row>
    <row r="8219" spans="1:4">
      <c r="A8219" t="s">
        <v>13720</v>
      </c>
      <c r="B8219">
        <v>3875</v>
      </c>
      <c r="C8219" t="s">
        <v>3240</v>
      </c>
      <c r="D8219" t="s">
        <v>6168</v>
      </c>
    </row>
    <row r="8220" spans="1:4">
      <c r="A8220" t="s">
        <v>13721</v>
      </c>
      <c r="B8220">
        <v>3629</v>
      </c>
      <c r="C8220" t="s">
        <v>1073</v>
      </c>
      <c r="D8220" t="s">
        <v>6168</v>
      </c>
    </row>
    <row r="8221" spans="1:4">
      <c r="A8221" t="s">
        <v>13722</v>
      </c>
      <c r="B8221">
        <v>3876</v>
      </c>
      <c r="C8221" t="s">
        <v>3240</v>
      </c>
      <c r="D8221" t="s">
        <v>6168</v>
      </c>
    </row>
    <row r="8222" spans="1:4">
      <c r="A8222" t="s">
        <v>13723</v>
      </c>
      <c r="B8222">
        <v>3879</v>
      </c>
      <c r="C8222" t="s">
        <v>13724</v>
      </c>
      <c r="D8222" t="s">
        <v>6168</v>
      </c>
    </row>
    <row r="8223" spans="1:4">
      <c r="A8223" t="s">
        <v>13725</v>
      </c>
      <c r="B8223">
        <v>3280</v>
      </c>
      <c r="C8223" t="s">
        <v>9366</v>
      </c>
      <c r="D8223" t="s">
        <v>6168</v>
      </c>
    </row>
    <row r="8224" spans="1:4">
      <c r="A8224" t="s">
        <v>13726</v>
      </c>
      <c r="B8224">
        <v>42948</v>
      </c>
      <c r="C8224" t="s">
        <v>13727</v>
      </c>
      <c r="D8224" t="s">
        <v>6168</v>
      </c>
    </row>
    <row r="8225" spans="1:4">
      <c r="A8225" t="s">
        <v>13728</v>
      </c>
      <c r="B8225">
        <v>20410</v>
      </c>
      <c r="C8225" t="s">
        <v>13729</v>
      </c>
      <c r="D8225" t="s">
        <v>6168</v>
      </c>
    </row>
    <row r="8226" spans="1:4">
      <c r="A8226" t="s">
        <v>13730</v>
      </c>
      <c r="B8226">
        <v>25806</v>
      </c>
      <c r="C8226" t="s">
        <v>950</v>
      </c>
      <c r="D8226" t="s">
        <v>6168</v>
      </c>
    </row>
    <row r="8227" spans="1:4">
      <c r="A8227" t="s">
        <v>13731</v>
      </c>
      <c r="B8227">
        <v>3877</v>
      </c>
      <c r="C8227" t="s">
        <v>6914</v>
      </c>
      <c r="D8227" t="s">
        <v>6168</v>
      </c>
    </row>
    <row r="8228" spans="1:4">
      <c r="A8228" t="s">
        <v>13732</v>
      </c>
      <c r="B8228">
        <v>39611</v>
      </c>
      <c r="C8228" t="s">
        <v>13733</v>
      </c>
      <c r="D8228" t="s">
        <v>6168</v>
      </c>
    </row>
    <row r="8229" spans="1:4">
      <c r="A8229" t="s">
        <v>13734</v>
      </c>
      <c r="B8229">
        <v>3878</v>
      </c>
      <c r="C8229" t="s">
        <v>4519</v>
      </c>
      <c r="D8229" t="s">
        <v>6168</v>
      </c>
    </row>
    <row r="8230" spans="1:4">
      <c r="A8230" t="s">
        <v>17408</v>
      </c>
      <c r="B8230">
        <v>45496</v>
      </c>
      <c r="C8230" t="s">
        <v>1073</v>
      </c>
      <c r="D8230" t="s">
        <v>123</v>
      </c>
    </row>
    <row r="8231" spans="1:4">
      <c r="A8231" t="s">
        <v>17472</v>
      </c>
      <c r="B8231">
        <v>45760</v>
      </c>
      <c r="C8231" t="s">
        <v>14775</v>
      </c>
      <c r="D8231" t="s">
        <v>6168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13735</v>
      </c>
      <c r="B8233">
        <v>3874</v>
      </c>
      <c r="C8233" t="s">
        <v>13736</v>
      </c>
      <c r="D8233" t="s">
        <v>6168</v>
      </c>
    </row>
    <row r="8234" spans="1:4">
      <c r="A8234" t="s">
        <v>13737</v>
      </c>
      <c r="B8234">
        <v>25805</v>
      </c>
      <c r="C8234" t="s">
        <v>13738</v>
      </c>
      <c r="D8234" t="s">
        <v>6168</v>
      </c>
    </row>
    <row r="8235" spans="1:4">
      <c r="A8235" t="s">
        <v>13739</v>
      </c>
      <c r="B8235">
        <v>3872</v>
      </c>
      <c r="C8235" t="s">
        <v>7313</v>
      </c>
      <c r="D8235" t="s">
        <v>6168</v>
      </c>
    </row>
    <row r="8236" spans="1:4">
      <c r="A8236" t="s">
        <v>13740</v>
      </c>
      <c r="B8236">
        <v>3873</v>
      </c>
      <c r="C8236" t="s">
        <v>13741</v>
      </c>
      <c r="D8236" t="s">
        <v>6168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13742</v>
      </c>
      <c r="B8238">
        <v>39608</v>
      </c>
      <c r="C8238" t="s">
        <v>264</v>
      </c>
      <c r="D8238" t="s">
        <v>6267</v>
      </c>
    </row>
    <row r="8239" spans="1:4">
      <c r="A8239" t="s">
        <v>13743</v>
      </c>
      <c r="B8239">
        <v>23335</v>
      </c>
      <c r="C8239" t="s">
        <v>264</v>
      </c>
      <c r="D8239" t="s">
        <v>6314</v>
      </c>
    </row>
    <row r="8240" spans="1:4">
      <c r="A8240" t="s">
        <v>13744</v>
      </c>
      <c r="B8240">
        <v>23859</v>
      </c>
      <c r="D8240" t="s">
        <v>6605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13745</v>
      </c>
      <c r="B8242">
        <v>31171</v>
      </c>
      <c r="C8242" t="s">
        <v>8405</v>
      </c>
      <c r="D8242" t="s">
        <v>6168</v>
      </c>
    </row>
    <row r="8243" spans="1:4">
      <c r="A8243" t="s">
        <v>13746</v>
      </c>
      <c r="B8243">
        <v>39644</v>
      </c>
      <c r="C8243" t="s">
        <v>13747</v>
      </c>
      <c r="D8243" t="s">
        <v>6230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13748</v>
      </c>
      <c r="B8245">
        <v>39592</v>
      </c>
      <c r="C8245" t="s">
        <v>4354</v>
      </c>
      <c r="D8245" t="s">
        <v>6314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13749</v>
      </c>
      <c r="B8247">
        <v>30851</v>
      </c>
      <c r="C8247" t="s">
        <v>8218</v>
      </c>
      <c r="D8247" t="s">
        <v>6168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13750</v>
      </c>
      <c r="B8249">
        <v>500</v>
      </c>
      <c r="C8249" t="s">
        <v>6278</v>
      </c>
      <c r="D8249" t="s">
        <v>6168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13751</v>
      </c>
      <c r="B8253">
        <v>4037</v>
      </c>
      <c r="C8253" t="s">
        <v>8630</v>
      </c>
      <c r="D8253" t="s">
        <v>6168</v>
      </c>
    </row>
    <row r="8254" spans="1:4">
      <c r="A8254" t="s">
        <v>13752</v>
      </c>
      <c r="B8254">
        <v>4038</v>
      </c>
      <c r="C8254" t="s">
        <v>13753</v>
      </c>
      <c r="D8254" t="s">
        <v>6168</v>
      </c>
    </row>
    <row r="8255" spans="1:4">
      <c r="A8255" t="s">
        <v>13754</v>
      </c>
      <c r="B8255">
        <v>38269</v>
      </c>
      <c r="C8255" t="s">
        <v>13755</v>
      </c>
      <c r="D8255" t="s">
        <v>6267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13756</v>
      </c>
      <c r="B8257">
        <v>29403</v>
      </c>
      <c r="C8257" t="s">
        <v>6184</v>
      </c>
      <c r="D8257" t="s">
        <v>6168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13757</v>
      </c>
      <c r="B8259">
        <v>4232</v>
      </c>
      <c r="D8259" t="s">
        <v>6241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13758</v>
      </c>
      <c r="B8261">
        <v>22519</v>
      </c>
      <c r="C8261" t="s">
        <v>585</v>
      </c>
      <c r="D8261" t="s">
        <v>6267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13759</v>
      </c>
      <c r="B8263">
        <v>39707</v>
      </c>
      <c r="C8263" t="s">
        <v>13760</v>
      </c>
      <c r="D8263" t="s">
        <v>6168</v>
      </c>
    </row>
    <row r="8264" spans="1:4">
      <c r="A8264" t="s">
        <v>13761</v>
      </c>
      <c r="B8264">
        <v>31438</v>
      </c>
      <c r="C8264" t="s">
        <v>5344</v>
      </c>
      <c r="D8264" t="s">
        <v>6168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13762</v>
      </c>
      <c r="B8266">
        <v>3093</v>
      </c>
      <c r="C8266" t="s">
        <v>13763</v>
      </c>
      <c r="D8266" t="s">
        <v>6168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16881</v>
      </c>
      <c r="B8268">
        <v>43947</v>
      </c>
      <c r="C8268" t="s">
        <v>172</v>
      </c>
      <c r="D8268" t="s">
        <v>123</v>
      </c>
    </row>
    <row r="8269" spans="1:4">
      <c r="A8269" t="s">
        <v>17473</v>
      </c>
      <c r="B8269">
        <v>45761</v>
      </c>
      <c r="C8269" t="s">
        <v>17024</v>
      </c>
      <c r="D8269" t="s">
        <v>6168</v>
      </c>
    </row>
    <row r="8270" spans="1:4">
      <c r="A8270" t="s">
        <v>13764</v>
      </c>
      <c r="B8270">
        <v>24796</v>
      </c>
      <c r="C8270" t="s">
        <v>7059</v>
      </c>
      <c r="D8270" t="s">
        <v>6267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13765</v>
      </c>
      <c r="B8273">
        <v>3882</v>
      </c>
      <c r="C8273" t="s">
        <v>10196</v>
      </c>
      <c r="D8273" t="s">
        <v>6168</v>
      </c>
    </row>
    <row r="8274" spans="1:4">
      <c r="A8274" t="s">
        <v>13766</v>
      </c>
      <c r="B8274">
        <v>3883</v>
      </c>
      <c r="C8274" t="s">
        <v>13767</v>
      </c>
      <c r="D8274" t="s">
        <v>6168</v>
      </c>
    </row>
    <row r="8275" spans="1:4">
      <c r="A8275" t="s">
        <v>13768</v>
      </c>
      <c r="B8275">
        <v>23336</v>
      </c>
      <c r="C8275" t="s">
        <v>2329</v>
      </c>
      <c r="D8275" t="s">
        <v>6314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13769</v>
      </c>
      <c r="B8277">
        <v>3887</v>
      </c>
      <c r="C8277" t="s">
        <v>5098</v>
      </c>
      <c r="D8277" t="s">
        <v>6168</v>
      </c>
    </row>
    <row r="8278" spans="1:4">
      <c r="A8278" t="s">
        <v>13770</v>
      </c>
      <c r="B8278">
        <v>3885</v>
      </c>
      <c r="C8278" t="s">
        <v>148</v>
      </c>
      <c r="D8278" t="s">
        <v>6168</v>
      </c>
    </row>
    <row r="8279" spans="1:4">
      <c r="A8279" t="s">
        <v>13771</v>
      </c>
      <c r="B8279">
        <v>3886</v>
      </c>
      <c r="C8279" t="s">
        <v>7979</v>
      </c>
      <c r="D8279" t="s">
        <v>6168</v>
      </c>
    </row>
    <row r="8280" spans="1:4">
      <c r="A8280" t="s">
        <v>13772</v>
      </c>
      <c r="B8280">
        <v>23861</v>
      </c>
      <c r="C8280" t="s">
        <v>2434</v>
      </c>
      <c r="D8280" t="s">
        <v>6292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13773</v>
      </c>
      <c r="B8283">
        <v>24797</v>
      </c>
      <c r="C8283" t="s">
        <v>823</v>
      </c>
      <c r="D8283" t="s">
        <v>6168</v>
      </c>
    </row>
    <row r="8284" spans="1:4">
      <c r="A8284" t="s">
        <v>13774</v>
      </c>
      <c r="B8284">
        <v>24798</v>
      </c>
      <c r="C8284" t="s">
        <v>4950</v>
      </c>
      <c r="D8284" t="s">
        <v>6168</v>
      </c>
    </row>
    <row r="8285" spans="1:4">
      <c r="A8285" t="s">
        <v>13775</v>
      </c>
      <c r="B8285">
        <v>34059</v>
      </c>
      <c r="C8285" t="s">
        <v>6194</v>
      </c>
      <c r="D8285" t="s">
        <v>6168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13776</v>
      </c>
      <c r="B8287">
        <v>22520</v>
      </c>
      <c r="C8287" t="s">
        <v>264</v>
      </c>
      <c r="D8287" t="s">
        <v>6314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13777</v>
      </c>
      <c r="B8290">
        <v>39604</v>
      </c>
      <c r="C8290" t="s">
        <v>2642</v>
      </c>
      <c r="D8290" t="s">
        <v>6267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13778</v>
      </c>
      <c r="B8292">
        <v>43518</v>
      </c>
      <c r="C8292" t="s">
        <v>13779</v>
      </c>
      <c r="D8292" t="s">
        <v>6168</v>
      </c>
    </row>
    <row r="8293" spans="1:4">
      <c r="A8293" t="s">
        <v>13780</v>
      </c>
      <c r="B8293">
        <v>23151</v>
      </c>
      <c r="D8293" t="s">
        <v>6243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13781</v>
      </c>
      <c r="B8295">
        <v>701</v>
      </c>
      <c r="C8295" t="s">
        <v>8251</v>
      </c>
      <c r="D8295" t="s">
        <v>6168</v>
      </c>
    </row>
    <row r="8296" spans="1:4">
      <c r="A8296" t="s">
        <v>13782</v>
      </c>
      <c r="B8296">
        <v>23257</v>
      </c>
      <c r="C8296" t="s">
        <v>13783</v>
      </c>
      <c r="D8296" t="s">
        <v>6245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13784</v>
      </c>
      <c r="B8299">
        <v>23863</v>
      </c>
      <c r="C8299" t="s">
        <v>6558</v>
      </c>
      <c r="D8299" t="s">
        <v>6168</v>
      </c>
    </row>
    <row r="8300" spans="1:4">
      <c r="A8300" t="s">
        <v>13785</v>
      </c>
      <c r="B8300">
        <v>23864</v>
      </c>
      <c r="C8300" t="s">
        <v>6914</v>
      </c>
      <c r="D8300" t="s">
        <v>6168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13786</v>
      </c>
      <c r="B8302">
        <v>30713</v>
      </c>
      <c r="C8302" t="s">
        <v>7336</v>
      </c>
      <c r="D8302" t="s">
        <v>6168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13787</v>
      </c>
      <c r="B8304">
        <v>22522</v>
      </c>
      <c r="C8304" t="s">
        <v>6783</v>
      </c>
      <c r="D8304" t="s">
        <v>6168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13788</v>
      </c>
      <c r="B8307">
        <v>3741</v>
      </c>
      <c r="C8307" t="s">
        <v>7872</v>
      </c>
      <c r="D8307" t="s">
        <v>6168</v>
      </c>
    </row>
    <row r="8308" spans="1:4">
      <c r="A8308" t="s">
        <v>13789</v>
      </c>
      <c r="B8308">
        <v>30710</v>
      </c>
      <c r="C8308" t="s">
        <v>4050</v>
      </c>
      <c r="D8308" t="s">
        <v>6168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13790</v>
      </c>
      <c r="B8310">
        <v>4549</v>
      </c>
      <c r="C8310" t="s">
        <v>13791</v>
      </c>
      <c r="D8310" t="s">
        <v>6168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13792</v>
      </c>
      <c r="B8313">
        <v>5225</v>
      </c>
      <c r="C8313" t="s">
        <v>6568</v>
      </c>
      <c r="D8313" t="s">
        <v>6168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13793</v>
      </c>
      <c r="B8317">
        <v>29850</v>
      </c>
      <c r="C8317" t="s">
        <v>13794</v>
      </c>
      <c r="D8317" t="s">
        <v>6168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13795</v>
      </c>
      <c r="B8321">
        <v>22524</v>
      </c>
      <c r="C8321" t="s">
        <v>13796</v>
      </c>
      <c r="D8321" t="s">
        <v>6168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13797</v>
      </c>
      <c r="B8323">
        <v>715</v>
      </c>
      <c r="C8323" t="s">
        <v>13798</v>
      </c>
      <c r="D8323" t="s">
        <v>6168</v>
      </c>
    </row>
    <row r="8324" spans="1:4">
      <c r="A8324" t="s">
        <v>16882</v>
      </c>
      <c r="B8324">
        <v>43948</v>
      </c>
      <c r="C8324" t="s">
        <v>16883</v>
      </c>
      <c r="D8324" t="s">
        <v>123</v>
      </c>
    </row>
    <row r="8325" spans="1:4">
      <c r="A8325" t="s">
        <v>16957</v>
      </c>
      <c r="B8325">
        <v>44023</v>
      </c>
      <c r="C8325" t="s">
        <v>16958</v>
      </c>
      <c r="D8325" t="s">
        <v>6168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13799</v>
      </c>
      <c r="B8328">
        <v>3796</v>
      </c>
      <c r="C8328" t="s">
        <v>13800</v>
      </c>
      <c r="D8328" t="s">
        <v>6168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13801</v>
      </c>
      <c r="B8331">
        <v>34931</v>
      </c>
      <c r="C8331" t="s">
        <v>8104</v>
      </c>
      <c r="D8331" t="s">
        <v>6168</v>
      </c>
    </row>
    <row r="8332" spans="1:4">
      <c r="A8332" t="s">
        <v>13802</v>
      </c>
      <c r="B8332">
        <v>35405</v>
      </c>
      <c r="C8332" t="s">
        <v>13803</v>
      </c>
      <c r="D8332" t="s">
        <v>6168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13804</v>
      </c>
      <c r="B8334">
        <v>24799</v>
      </c>
      <c r="C8334" t="s">
        <v>13805</v>
      </c>
      <c r="D8334" t="s">
        <v>6168</v>
      </c>
    </row>
    <row r="8335" spans="1:4">
      <c r="A8335" t="s">
        <v>13806</v>
      </c>
      <c r="B8335">
        <v>30408</v>
      </c>
      <c r="C8335" t="s">
        <v>7160</v>
      </c>
      <c r="D8335" t="s">
        <v>6168</v>
      </c>
    </row>
    <row r="8336" spans="1:4">
      <c r="A8336" t="s">
        <v>13807</v>
      </c>
      <c r="B8336">
        <v>24800</v>
      </c>
      <c r="C8336" t="s">
        <v>6170</v>
      </c>
      <c r="D8336" t="s">
        <v>6168</v>
      </c>
    </row>
    <row r="8337" spans="1:4">
      <c r="A8337" t="s">
        <v>13808</v>
      </c>
      <c r="B8337">
        <v>35231</v>
      </c>
      <c r="C8337" t="s">
        <v>13809</v>
      </c>
      <c r="D8337" t="s">
        <v>6168</v>
      </c>
    </row>
    <row r="8338" spans="1:4">
      <c r="A8338" t="s">
        <v>13810</v>
      </c>
      <c r="B8338">
        <v>24801</v>
      </c>
      <c r="C8338" t="s">
        <v>2633</v>
      </c>
      <c r="D8338" t="s">
        <v>6168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13811</v>
      </c>
      <c r="B8340">
        <v>41693</v>
      </c>
      <c r="C8340" t="s">
        <v>9918</v>
      </c>
      <c r="D8340" t="s">
        <v>6168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13812</v>
      </c>
      <c r="B8342">
        <v>35732</v>
      </c>
      <c r="C8342" t="s">
        <v>13813</v>
      </c>
      <c r="D8342" t="s">
        <v>6168</v>
      </c>
    </row>
    <row r="8343" spans="1:4">
      <c r="A8343" t="s">
        <v>13814</v>
      </c>
      <c r="B8343">
        <v>29339</v>
      </c>
      <c r="C8343" t="s">
        <v>7755</v>
      </c>
      <c r="D8343" t="s">
        <v>6168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13815</v>
      </c>
      <c r="B8345">
        <v>30715</v>
      </c>
      <c r="C8345" t="s">
        <v>13816</v>
      </c>
      <c r="D8345" t="s">
        <v>6168</v>
      </c>
    </row>
    <row r="8346" spans="1:4">
      <c r="A8346" t="s">
        <v>13817</v>
      </c>
      <c r="B8346">
        <v>3727</v>
      </c>
      <c r="C8346" t="s">
        <v>13818</v>
      </c>
      <c r="D8346" t="s">
        <v>6168</v>
      </c>
    </row>
    <row r="8347" spans="1:4">
      <c r="A8347" t="s">
        <v>13819</v>
      </c>
      <c r="B8347">
        <v>22994</v>
      </c>
      <c r="C8347" t="s">
        <v>13820</v>
      </c>
      <c r="D8347" t="s">
        <v>6168</v>
      </c>
    </row>
    <row r="8348" spans="1:4">
      <c r="A8348" t="s">
        <v>13821</v>
      </c>
      <c r="B8348">
        <v>3728</v>
      </c>
      <c r="C8348" t="s">
        <v>6458</v>
      </c>
      <c r="D8348" t="s">
        <v>6168</v>
      </c>
    </row>
    <row r="8349" spans="1:4">
      <c r="A8349" t="s">
        <v>13822</v>
      </c>
      <c r="B8349">
        <v>3729</v>
      </c>
      <c r="C8349" t="s">
        <v>16669</v>
      </c>
      <c r="D8349" t="s">
        <v>6168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13823</v>
      </c>
      <c r="B8351">
        <v>29669</v>
      </c>
      <c r="C8351" t="s">
        <v>13824</v>
      </c>
      <c r="D8351" t="s">
        <v>6168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13825</v>
      </c>
      <c r="B8353">
        <v>684</v>
      </c>
      <c r="C8353" t="s">
        <v>13826</v>
      </c>
      <c r="D8353" t="s">
        <v>6168</v>
      </c>
    </row>
    <row r="8354" spans="1:4">
      <c r="A8354" t="s">
        <v>16791</v>
      </c>
      <c r="B8354">
        <v>43350</v>
      </c>
      <c r="C8354" t="s">
        <v>16792</v>
      </c>
      <c r="D8354" t="s">
        <v>6449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13827</v>
      </c>
      <c r="B8356">
        <v>41694</v>
      </c>
      <c r="C8356" t="s">
        <v>13828</v>
      </c>
      <c r="D8356" t="s">
        <v>6168</v>
      </c>
    </row>
    <row r="8357" spans="1:4">
      <c r="A8357" t="s">
        <v>13829</v>
      </c>
      <c r="B8357">
        <v>41695</v>
      </c>
      <c r="C8357" t="s">
        <v>13830</v>
      </c>
      <c r="D8357" t="s">
        <v>6168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13831</v>
      </c>
      <c r="B8359">
        <v>24248</v>
      </c>
      <c r="C8359" t="s">
        <v>7313</v>
      </c>
      <c r="D8359" t="s">
        <v>6168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13832</v>
      </c>
      <c r="B8361">
        <v>29836</v>
      </c>
      <c r="C8361" t="s">
        <v>13833</v>
      </c>
      <c r="D8361" t="s">
        <v>6168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13834</v>
      </c>
      <c r="B8363">
        <v>25357</v>
      </c>
      <c r="C8363" t="s">
        <v>2640</v>
      </c>
      <c r="D8363" t="s">
        <v>6168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13835</v>
      </c>
      <c r="B8367">
        <v>43608</v>
      </c>
      <c r="C8367" t="s">
        <v>13836</v>
      </c>
      <c r="D8367" t="s">
        <v>123</v>
      </c>
    </row>
    <row r="8368" spans="1:4">
      <c r="A8368" t="s">
        <v>13837</v>
      </c>
      <c r="B8368">
        <v>31809</v>
      </c>
      <c r="C8368" t="s">
        <v>13838</v>
      </c>
      <c r="D8368" t="s">
        <v>6168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13839</v>
      </c>
      <c r="B8370">
        <v>482</v>
      </c>
      <c r="C8370" t="s">
        <v>8163</v>
      </c>
      <c r="D8370" t="s">
        <v>6168</v>
      </c>
    </row>
    <row r="8371" spans="1:4">
      <c r="A8371" t="s">
        <v>13840</v>
      </c>
      <c r="B8371">
        <v>483</v>
      </c>
      <c r="C8371" t="s">
        <v>10825</v>
      </c>
      <c r="D8371" t="s">
        <v>6168</v>
      </c>
    </row>
    <row r="8372" spans="1:4">
      <c r="A8372" t="s">
        <v>13841</v>
      </c>
      <c r="B8372">
        <v>484</v>
      </c>
      <c r="C8372" t="s">
        <v>659</v>
      </c>
      <c r="D8372" t="s">
        <v>6168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13842</v>
      </c>
      <c r="B8375">
        <v>22526</v>
      </c>
      <c r="C8375" t="s">
        <v>10579</v>
      </c>
      <c r="D8375" t="s">
        <v>6168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17315</v>
      </c>
      <c r="B8378">
        <v>45403</v>
      </c>
      <c r="C8378" t="s">
        <v>17316</v>
      </c>
      <c r="D8378" t="s">
        <v>123</v>
      </c>
    </row>
    <row r="8379" spans="1:4">
      <c r="A8379" t="s">
        <v>17409</v>
      </c>
      <c r="B8379">
        <v>45497</v>
      </c>
      <c r="C8379" t="s">
        <v>12496</v>
      </c>
      <c r="D8379" t="s">
        <v>6168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13843</v>
      </c>
      <c r="B8381">
        <v>26146</v>
      </c>
      <c r="C8381" t="s">
        <v>13844</v>
      </c>
      <c r="D8381" t="s">
        <v>6168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13845</v>
      </c>
      <c r="B8384">
        <v>41696</v>
      </c>
      <c r="C8384" t="s">
        <v>13846</v>
      </c>
      <c r="D8384" t="s">
        <v>6168</v>
      </c>
    </row>
    <row r="8385" spans="1:4">
      <c r="A8385" t="s">
        <v>13847</v>
      </c>
      <c r="B8385">
        <v>41697</v>
      </c>
      <c r="C8385" t="s">
        <v>7292</v>
      </c>
      <c r="D8385" t="s">
        <v>6168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13848</v>
      </c>
      <c r="B8388">
        <v>31478</v>
      </c>
      <c r="C8388" t="s">
        <v>4715</v>
      </c>
      <c r="D8388" t="s">
        <v>6168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13849</v>
      </c>
      <c r="B8390">
        <v>34060</v>
      </c>
      <c r="C8390" t="s">
        <v>13850</v>
      </c>
      <c r="D8390" t="s">
        <v>6248</v>
      </c>
    </row>
    <row r="8391" spans="1:4">
      <c r="A8391" t="s">
        <v>13851</v>
      </c>
      <c r="B8391">
        <v>34061</v>
      </c>
      <c r="C8391" t="s">
        <v>13852</v>
      </c>
      <c r="D8391" t="s">
        <v>6248</v>
      </c>
    </row>
    <row r="8392" spans="1:4">
      <c r="A8392" t="s">
        <v>13853</v>
      </c>
      <c r="B8392">
        <v>4350</v>
      </c>
      <c r="C8392" t="s">
        <v>6826</v>
      </c>
      <c r="D8392" t="s">
        <v>6168</v>
      </c>
    </row>
    <row r="8393" spans="1:4">
      <c r="A8393" t="s">
        <v>13854</v>
      </c>
      <c r="B8393">
        <v>29655</v>
      </c>
      <c r="C8393" t="s">
        <v>13855</v>
      </c>
      <c r="D8393" t="s">
        <v>6168</v>
      </c>
    </row>
    <row r="8394" spans="1:4">
      <c r="A8394" t="s">
        <v>13856</v>
      </c>
      <c r="B8394">
        <v>4351</v>
      </c>
      <c r="C8394" t="s">
        <v>6826</v>
      </c>
      <c r="D8394" t="s">
        <v>6168</v>
      </c>
    </row>
    <row r="8395" spans="1:4">
      <c r="A8395" t="s">
        <v>13857</v>
      </c>
      <c r="B8395">
        <v>29673</v>
      </c>
      <c r="C8395" t="s">
        <v>13855</v>
      </c>
      <c r="D8395" t="s">
        <v>6168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13858</v>
      </c>
      <c r="B8397">
        <v>20375</v>
      </c>
      <c r="C8397" t="s">
        <v>13859</v>
      </c>
      <c r="D8397" t="s">
        <v>6168</v>
      </c>
    </row>
    <row r="8398" spans="1:4">
      <c r="A8398" t="s">
        <v>13860</v>
      </c>
      <c r="B8398">
        <v>20376</v>
      </c>
      <c r="C8398" t="s">
        <v>13861</v>
      </c>
      <c r="D8398" t="s">
        <v>6168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13862</v>
      </c>
      <c r="B8400">
        <v>23866</v>
      </c>
      <c r="C8400" t="s">
        <v>9179</v>
      </c>
      <c r="D8400" t="s">
        <v>6168</v>
      </c>
    </row>
    <row r="8401" spans="1:4">
      <c r="A8401" t="s">
        <v>13863</v>
      </c>
      <c r="B8401">
        <v>34062</v>
      </c>
      <c r="C8401" t="s">
        <v>12310</v>
      </c>
      <c r="D8401" t="s">
        <v>6168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13864</v>
      </c>
      <c r="B8403">
        <v>24803</v>
      </c>
      <c r="C8403" t="s">
        <v>13865</v>
      </c>
      <c r="D8403" t="s">
        <v>6168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13866</v>
      </c>
      <c r="B8405">
        <v>34063</v>
      </c>
      <c r="C8405" t="s">
        <v>13867</v>
      </c>
      <c r="D8405" t="s">
        <v>6168</v>
      </c>
    </row>
    <row r="8406" spans="1:4">
      <c r="A8406" t="s">
        <v>13868</v>
      </c>
      <c r="B8406">
        <v>30564</v>
      </c>
      <c r="C8406" t="s">
        <v>12126</v>
      </c>
      <c r="D8406" t="s">
        <v>6168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13869</v>
      </c>
      <c r="B8410">
        <v>31503</v>
      </c>
      <c r="C8410" t="s">
        <v>6170</v>
      </c>
      <c r="D8410" t="s">
        <v>6168</v>
      </c>
    </row>
    <row r="8411" spans="1:4">
      <c r="A8411" t="s">
        <v>13870</v>
      </c>
      <c r="B8411">
        <v>29298</v>
      </c>
      <c r="C8411" t="s">
        <v>11816</v>
      </c>
      <c r="D8411" t="s">
        <v>6168</v>
      </c>
    </row>
    <row r="8412" spans="1:4">
      <c r="A8412" t="s">
        <v>13871</v>
      </c>
      <c r="B8412">
        <v>30390</v>
      </c>
      <c r="C8412" t="s">
        <v>7189</v>
      </c>
      <c r="D8412" t="s">
        <v>6449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13872</v>
      </c>
      <c r="B8416">
        <v>30689</v>
      </c>
      <c r="C8416" t="s">
        <v>13873</v>
      </c>
      <c r="D8416" t="s">
        <v>6168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13874</v>
      </c>
      <c r="B8418">
        <v>42095</v>
      </c>
      <c r="C8418" t="s">
        <v>13875</v>
      </c>
      <c r="D8418" t="s">
        <v>6168</v>
      </c>
    </row>
    <row r="8419" spans="1:4">
      <c r="A8419" t="s">
        <v>13876</v>
      </c>
      <c r="B8419">
        <v>41228</v>
      </c>
      <c r="C8419" t="s">
        <v>13875</v>
      </c>
      <c r="D8419" t="s">
        <v>6168</v>
      </c>
    </row>
    <row r="8420" spans="1:4">
      <c r="A8420" t="s">
        <v>13877</v>
      </c>
      <c r="B8420">
        <v>41229</v>
      </c>
      <c r="C8420" t="s">
        <v>13878</v>
      </c>
      <c r="D8420" t="s">
        <v>6168</v>
      </c>
    </row>
    <row r="8421" spans="1:4">
      <c r="A8421" t="s">
        <v>13879</v>
      </c>
      <c r="B8421">
        <v>42096</v>
      </c>
      <c r="C8421" t="s">
        <v>13880</v>
      </c>
      <c r="D8421" t="s">
        <v>6168</v>
      </c>
    </row>
    <row r="8422" spans="1:4">
      <c r="A8422" t="s">
        <v>13881</v>
      </c>
      <c r="B8422">
        <v>35258</v>
      </c>
      <c r="C8422" t="s">
        <v>13875</v>
      </c>
      <c r="D8422" t="s">
        <v>6168</v>
      </c>
    </row>
    <row r="8423" spans="1:4">
      <c r="A8423" t="s">
        <v>13882</v>
      </c>
      <c r="B8423">
        <v>35259</v>
      </c>
      <c r="C8423" t="s">
        <v>13875</v>
      </c>
      <c r="D8423" t="s">
        <v>6168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13883</v>
      </c>
      <c r="B8426">
        <v>3744</v>
      </c>
      <c r="C8426" t="s">
        <v>9233</v>
      </c>
      <c r="D8426" t="s">
        <v>6168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13884</v>
      </c>
      <c r="B8429">
        <v>2949</v>
      </c>
      <c r="C8429" t="s">
        <v>4950</v>
      </c>
      <c r="D8429" t="s">
        <v>6168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13885</v>
      </c>
      <c r="B8431">
        <v>42098</v>
      </c>
      <c r="C8431" t="s">
        <v>13886</v>
      </c>
      <c r="D8431" t="s">
        <v>6168</v>
      </c>
    </row>
    <row r="8432" spans="1:4">
      <c r="A8432" t="s">
        <v>13887</v>
      </c>
      <c r="B8432">
        <v>24804</v>
      </c>
      <c r="C8432" t="s">
        <v>13888</v>
      </c>
      <c r="D8432" t="s">
        <v>6168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13889</v>
      </c>
      <c r="B8434">
        <v>187</v>
      </c>
      <c r="D8434" t="s">
        <v>6248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13890</v>
      </c>
      <c r="B8436">
        <v>43116</v>
      </c>
      <c r="C8436" t="s">
        <v>13891</v>
      </c>
      <c r="D8436" t="s">
        <v>6168</v>
      </c>
    </row>
    <row r="8437" spans="1:4">
      <c r="A8437" t="s">
        <v>13892</v>
      </c>
      <c r="B8437">
        <v>43117</v>
      </c>
      <c r="C8437" t="s">
        <v>13893</v>
      </c>
      <c r="D8437" t="s">
        <v>6168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13894</v>
      </c>
      <c r="B8439">
        <v>23605</v>
      </c>
      <c r="C8439" t="s">
        <v>13895</v>
      </c>
      <c r="D8439" t="s">
        <v>6168</v>
      </c>
    </row>
    <row r="8440" spans="1:4">
      <c r="A8440" t="s">
        <v>13896</v>
      </c>
      <c r="B8440">
        <v>30738</v>
      </c>
      <c r="C8440" t="s">
        <v>13897</v>
      </c>
      <c r="D8440" t="s">
        <v>6168</v>
      </c>
    </row>
    <row r="8441" spans="1:4">
      <c r="A8441" t="s">
        <v>13898</v>
      </c>
      <c r="B8441">
        <v>23606</v>
      </c>
      <c r="C8441" t="s">
        <v>13899</v>
      </c>
      <c r="D8441" t="s">
        <v>6168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13900</v>
      </c>
      <c r="B8443">
        <v>41699</v>
      </c>
      <c r="C8443" t="s">
        <v>13901</v>
      </c>
      <c r="D8443" t="s">
        <v>6168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13902</v>
      </c>
      <c r="B8445">
        <v>2705</v>
      </c>
      <c r="D8445" t="s">
        <v>6168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13903</v>
      </c>
      <c r="B8449">
        <v>39723</v>
      </c>
      <c r="C8449" t="s">
        <v>5442</v>
      </c>
      <c r="D8449" t="s">
        <v>6267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13904</v>
      </c>
      <c r="B8451">
        <v>23869</v>
      </c>
      <c r="C8451" t="s">
        <v>5442</v>
      </c>
      <c r="D8451" t="s">
        <v>6314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13905</v>
      </c>
      <c r="B8456">
        <v>30719</v>
      </c>
      <c r="C8456" t="s">
        <v>13906</v>
      </c>
      <c r="D8456" t="s">
        <v>6168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13907</v>
      </c>
      <c r="B8458">
        <v>29177</v>
      </c>
      <c r="C8458" t="s">
        <v>8104</v>
      </c>
      <c r="D8458" t="s">
        <v>6168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13908</v>
      </c>
      <c r="B8460">
        <v>40866</v>
      </c>
      <c r="C8460" t="s">
        <v>13909</v>
      </c>
      <c r="D8460" t="s">
        <v>6168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13910</v>
      </c>
      <c r="B8462">
        <v>22528</v>
      </c>
      <c r="C8462" t="s">
        <v>13911</v>
      </c>
      <c r="D8462" t="s">
        <v>6168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13912</v>
      </c>
      <c r="B8467">
        <v>30395</v>
      </c>
      <c r="C8467" t="s">
        <v>7800</v>
      </c>
      <c r="D8467" t="s">
        <v>6168</v>
      </c>
    </row>
    <row r="8468" spans="1:4">
      <c r="A8468" t="s">
        <v>13913</v>
      </c>
      <c r="B8468">
        <v>29898</v>
      </c>
      <c r="C8468" t="s">
        <v>13914</v>
      </c>
      <c r="D8468" t="s">
        <v>6168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13915</v>
      </c>
      <c r="B8472">
        <v>40467</v>
      </c>
      <c r="C8472" t="s">
        <v>13916</v>
      </c>
      <c r="D8472" t="s">
        <v>6168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13917</v>
      </c>
      <c r="B8474">
        <v>31464</v>
      </c>
      <c r="D8474" t="s">
        <v>6168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13918</v>
      </c>
      <c r="B8476">
        <v>29226</v>
      </c>
      <c r="C8476" t="s">
        <v>10837</v>
      </c>
      <c r="D8476" t="s">
        <v>6168</v>
      </c>
    </row>
    <row r="8477" spans="1:4">
      <c r="A8477" t="s">
        <v>13919</v>
      </c>
      <c r="B8477">
        <v>29229</v>
      </c>
      <c r="C8477" t="s">
        <v>13920</v>
      </c>
      <c r="D8477" t="s">
        <v>6168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13921</v>
      </c>
      <c r="B8479">
        <v>36185</v>
      </c>
      <c r="C8479" t="s">
        <v>10015</v>
      </c>
      <c r="D8479" t="s">
        <v>6168</v>
      </c>
    </row>
    <row r="8480" spans="1:4">
      <c r="A8480" t="s">
        <v>17317</v>
      </c>
      <c r="B8480">
        <v>45404</v>
      </c>
      <c r="C8480" t="s">
        <v>17318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13922</v>
      </c>
      <c r="B8483">
        <v>25207</v>
      </c>
      <c r="C8483" t="s">
        <v>6902</v>
      </c>
      <c r="D8483" t="s">
        <v>6168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13923</v>
      </c>
      <c r="B8486">
        <v>35665</v>
      </c>
      <c r="C8486" t="s">
        <v>13924</v>
      </c>
      <c r="D8486" t="s">
        <v>6168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13925</v>
      </c>
      <c r="B8488">
        <v>34929</v>
      </c>
      <c r="C8488" t="s">
        <v>6194</v>
      </c>
      <c r="D8488" t="s">
        <v>6168</v>
      </c>
    </row>
    <row r="8489" spans="1:4">
      <c r="A8489" t="s">
        <v>13926</v>
      </c>
      <c r="B8489">
        <v>39788</v>
      </c>
      <c r="C8489" t="s">
        <v>13927</v>
      </c>
      <c r="D8489" t="s">
        <v>6168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13928</v>
      </c>
      <c r="B8491">
        <v>30850</v>
      </c>
      <c r="C8491" t="s">
        <v>8218</v>
      </c>
      <c r="D8491" t="s">
        <v>6168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13929</v>
      </c>
      <c r="B8493">
        <v>39602</v>
      </c>
      <c r="C8493" t="s">
        <v>2659</v>
      </c>
      <c r="D8493" t="s">
        <v>6267</v>
      </c>
    </row>
    <row r="8494" spans="1:4">
      <c r="A8494" t="s">
        <v>13930</v>
      </c>
      <c r="B8494">
        <v>30498</v>
      </c>
      <c r="C8494" t="s">
        <v>2659</v>
      </c>
      <c r="D8494" t="s">
        <v>6314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13931</v>
      </c>
      <c r="B8496">
        <v>40864</v>
      </c>
      <c r="C8496" t="s">
        <v>8218</v>
      </c>
      <c r="D8496" t="s">
        <v>6168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13932</v>
      </c>
      <c r="B8498">
        <v>22530</v>
      </c>
      <c r="C8498" t="s">
        <v>10135</v>
      </c>
      <c r="D8498" t="s">
        <v>6168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13933</v>
      </c>
      <c r="B8500">
        <v>23479</v>
      </c>
      <c r="C8500" t="s">
        <v>6558</v>
      </c>
      <c r="D8500" t="s">
        <v>6168</v>
      </c>
    </row>
    <row r="8501" spans="1:4">
      <c r="A8501" t="s">
        <v>13934</v>
      </c>
      <c r="B8501">
        <v>26143</v>
      </c>
      <c r="C8501" t="s">
        <v>6879</v>
      </c>
      <c r="D8501" t="s">
        <v>6168</v>
      </c>
    </row>
    <row r="8502" spans="1:4">
      <c r="A8502" t="s">
        <v>13935</v>
      </c>
      <c r="B8502">
        <v>23480</v>
      </c>
      <c r="C8502" t="s">
        <v>11617</v>
      </c>
      <c r="D8502" t="s">
        <v>6168</v>
      </c>
    </row>
    <row r="8503" spans="1:4">
      <c r="A8503" t="s">
        <v>13936</v>
      </c>
      <c r="B8503">
        <v>31139</v>
      </c>
      <c r="C8503" t="s">
        <v>8591</v>
      </c>
      <c r="D8503" t="s">
        <v>6168</v>
      </c>
    </row>
    <row r="8504" spans="1:4">
      <c r="A8504" t="s">
        <v>13937</v>
      </c>
      <c r="B8504">
        <v>23481</v>
      </c>
      <c r="C8504" t="s">
        <v>9974</v>
      </c>
      <c r="D8504" t="s">
        <v>6168</v>
      </c>
    </row>
    <row r="8505" spans="1:4">
      <c r="A8505" t="s">
        <v>13938</v>
      </c>
      <c r="B8505">
        <v>30406</v>
      </c>
      <c r="C8505" t="s">
        <v>13939</v>
      </c>
      <c r="D8505" t="s">
        <v>6168</v>
      </c>
    </row>
    <row r="8506" spans="1:4">
      <c r="A8506" t="s">
        <v>13940</v>
      </c>
      <c r="B8506">
        <v>35290</v>
      </c>
      <c r="C8506" t="s">
        <v>13941</v>
      </c>
      <c r="D8506" t="s">
        <v>6168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13942</v>
      </c>
      <c r="B8508">
        <v>22532</v>
      </c>
      <c r="C8508" t="s">
        <v>13943</v>
      </c>
      <c r="D8508" t="s">
        <v>6168</v>
      </c>
    </row>
    <row r="8509" spans="1:4">
      <c r="A8509" t="s">
        <v>13944</v>
      </c>
      <c r="B8509">
        <v>31804</v>
      </c>
      <c r="C8509" t="s">
        <v>13945</v>
      </c>
      <c r="D8509" t="s">
        <v>6168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13946</v>
      </c>
      <c r="B8511">
        <v>38745</v>
      </c>
      <c r="C8511" t="s">
        <v>13947</v>
      </c>
      <c r="D8511" t="s">
        <v>6168</v>
      </c>
    </row>
    <row r="8512" spans="1:4">
      <c r="A8512" t="s">
        <v>13948</v>
      </c>
      <c r="B8512">
        <v>35724</v>
      </c>
      <c r="C8512" t="s">
        <v>4514</v>
      </c>
      <c r="D8512" t="s">
        <v>6168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13949</v>
      </c>
      <c r="B8514">
        <v>4104</v>
      </c>
      <c r="C8514" t="s">
        <v>1273</v>
      </c>
      <c r="D8514" t="s">
        <v>6168</v>
      </c>
    </row>
    <row r="8515" spans="1:4">
      <c r="A8515" t="s">
        <v>13950</v>
      </c>
      <c r="B8515">
        <v>34064</v>
      </c>
      <c r="C8515" t="s">
        <v>6226</v>
      </c>
      <c r="D8515" t="s">
        <v>6168</v>
      </c>
    </row>
    <row r="8516" spans="1:4">
      <c r="A8516" t="s">
        <v>13951</v>
      </c>
      <c r="B8516">
        <v>34065</v>
      </c>
      <c r="C8516" t="s">
        <v>1273</v>
      </c>
      <c r="D8516" t="s">
        <v>6168</v>
      </c>
    </row>
    <row r="8517" spans="1:4">
      <c r="A8517" t="s">
        <v>13952</v>
      </c>
      <c r="B8517">
        <v>4105</v>
      </c>
      <c r="C8517" t="s">
        <v>1273</v>
      </c>
      <c r="D8517" t="s">
        <v>6168</v>
      </c>
    </row>
    <row r="8518" spans="1:4">
      <c r="A8518" t="s">
        <v>13953</v>
      </c>
      <c r="B8518">
        <v>4106</v>
      </c>
      <c r="C8518" t="s">
        <v>7029</v>
      </c>
      <c r="D8518" t="s">
        <v>6168</v>
      </c>
    </row>
    <row r="8519" spans="1:4">
      <c r="A8519" t="s">
        <v>13954</v>
      </c>
      <c r="B8519">
        <v>4107</v>
      </c>
      <c r="C8519" t="s">
        <v>1273</v>
      </c>
      <c r="D8519" t="s">
        <v>6168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13955</v>
      </c>
      <c r="B8521">
        <v>22533</v>
      </c>
      <c r="C8521" t="s">
        <v>13956</v>
      </c>
      <c r="D8521" t="s">
        <v>6241</v>
      </c>
    </row>
    <row r="8522" spans="1:4">
      <c r="A8522" t="s">
        <v>13957</v>
      </c>
      <c r="B8522">
        <v>23870</v>
      </c>
      <c r="C8522" t="s">
        <v>264</v>
      </c>
      <c r="D8522" t="s">
        <v>6314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13958</v>
      </c>
      <c r="B8524">
        <v>36183</v>
      </c>
      <c r="C8524" t="s">
        <v>8939</v>
      </c>
      <c r="D8524" t="s">
        <v>6168</v>
      </c>
    </row>
    <row r="8525" spans="1:4">
      <c r="A8525" t="s">
        <v>13959</v>
      </c>
      <c r="B8525">
        <v>36182</v>
      </c>
      <c r="C8525" t="s">
        <v>6214</v>
      </c>
      <c r="D8525" t="s">
        <v>6168</v>
      </c>
    </row>
    <row r="8526" spans="1:4">
      <c r="A8526" t="s">
        <v>13960</v>
      </c>
      <c r="B8526">
        <v>36181</v>
      </c>
      <c r="C8526" t="s">
        <v>6214</v>
      </c>
      <c r="D8526" t="s">
        <v>6168</v>
      </c>
    </row>
    <row r="8527" spans="1:4">
      <c r="A8527" t="s">
        <v>13961</v>
      </c>
      <c r="B8527">
        <v>36180</v>
      </c>
      <c r="C8527" t="s">
        <v>243</v>
      </c>
      <c r="D8527" t="s">
        <v>6168</v>
      </c>
    </row>
    <row r="8528" spans="1:4">
      <c r="A8528" t="s">
        <v>16959</v>
      </c>
      <c r="B8528">
        <v>44024</v>
      </c>
      <c r="C8528" t="s">
        <v>14906</v>
      </c>
      <c r="D8528" t="s">
        <v>6168</v>
      </c>
    </row>
    <row r="8529" spans="1:4">
      <c r="A8529" t="s">
        <v>13962</v>
      </c>
      <c r="B8529">
        <v>41233</v>
      </c>
      <c r="C8529" t="s">
        <v>6330</v>
      </c>
      <c r="D8529" t="s">
        <v>6168</v>
      </c>
    </row>
    <row r="8530" spans="1:4">
      <c r="A8530" t="s">
        <v>13963</v>
      </c>
      <c r="B8530">
        <v>43102</v>
      </c>
      <c r="C8530" t="s">
        <v>6330</v>
      </c>
      <c r="D8530" t="s">
        <v>6168</v>
      </c>
    </row>
    <row r="8531" spans="1:4">
      <c r="A8531" t="s">
        <v>13964</v>
      </c>
      <c r="B8531">
        <v>42099</v>
      </c>
      <c r="C8531" t="s">
        <v>13965</v>
      </c>
      <c r="D8531" t="s">
        <v>6168</v>
      </c>
    </row>
    <row r="8532" spans="1:4">
      <c r="A8532" t="s">
        <v>13966</v>
      </c>
      <c r="B8532">
        <v>36179</v>
      </c>
      <c r="C8532" t="s">
        <v>2799</v>
      </c>
      <c r="D8532" t="s">
        <v>6168</v>
      </c>
    </row>
    <row r="8533" spans="1:4">
      <c r="A8533" t="s">
        <v>13967</v>
      </c>
      <c r="B8533">
        <v>36178</v>
      </c>
      <c r="C8533" t="s">
        <v>6216</v>
      </c>
      <c r="D8533" t="s">
        <v>6168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13968</v>
      </c>
      <c r="B8535">
        <v>38817</v>
      </c>
      <c r="C8535" t="s">
        <v>13969</v>
      </c>
      <c r="D8535" t="s">
        <v>6168</v>
      </c>
    </row>
    <row r="8536" spans="1:4">
      <c r="A8536" t="s">
        <v>13970</v>
      </c>
      <c r="B8536">
        <v>25509</v>
      </c>
      <c r="C8536" t="s">
        <v>10126</v>
      </c>
      <c r="D8536" t="s">
        <v>6245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13971</v>
      </c>
      <c r="B8538">
        <v>30695</v>
      </c>
      <c r="C8538" t="s">
        <v>8290</v>
      </c>
      <c r="D8538" t="s">
        <v>6168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13972</v>
      </c>
      <c r="B8540">
        <v>22535</v>
      </c>
      <c r="C8540" t="s">
        <v>13973</v>
      </c>
      <c r="D8540" t="s">
        <v>6168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13974</v>
      </c>
      <c r="B8542">
        <v>25359</v>
      </c>
      <c r="C8542" t="s">
        <v>13975</v>
      </c>
      <c r="D8542" t="s">
        <v>6168</v>
      </c>
    </row>
    <row r="8543" spans="1:4">
      <c r="A8543" t="s">
        <v>13976</v>
      </c>
      <c r="B8543">
        <v>43523</v>
      </c>
      <c r="C8543" t="s">
        <v>13977</v>
      </c>
      <c r="D8543" t="s">
        <v>123</v>
      </c>
    </row>
    <row r="8544" spans="1:4">
      <c r="A8544" t="s">
        <v>16884</v>
      </c>
      <c r="B8544">
        <v>43951</v>
      </c>
      <c r="C8544" t="s">
        <v>16885</v>
      </c>
      <c r="D8544" t="s">
        <v>6168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13978</v>
      </c>
      <c r="B8546">
        <v>27387</v>
      </c>
      <c r="C8546" t="s">
        <v>2597</v>
      </c>
      <c r="D8546" t="s">
        <v>6168</v>
      </c>
    </row>
    <row r="8547" spans="1:4">
      <c r="A8547" t="s">
        <v>13979</v>
      </c>
      <c r="B8547">
        <v>30708</v>
      </c>
      <c r="C8547" t="s">
        <v>4950</v>
      </c>
      <c r="D8547" t="s">
        <v>6168</v>
      </c>
    </row>
    <row r="8548" spans="1:4">
      <c r="A8548" t="s">
        <v>13980</v>
      </c>
      <c r="B8548">
        <v>3346</v>
      </c>
      <c r="C8548" t="s">
        <v>4950</v>
      </c>
      <c r="D8548" t="s">
        <v>6168</v>
      </c>
    </row>
    <row r="8549" spans="1:4">
      <c r="A8549" t="s">
        <v>13981</v>
      </c>
      <c r="B8549">
        <v>3344</v>
      </c>
      <c r="C8549" t="s">
        <v>4950</v>
      </c>
      <c r="D8549" t="s">
        <v>6168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13982</v>
      </c>
      <c r="B8551">
        <v>23548</v>
      </c>
      <c r="C8551" t="s">
        <v>12976</v>
      </c>
      <c r="D8551" t="s">
        <v>6248</v>
      </c>
    </row>
    <row r="8552" spans="1:4">
      <c r="A8552" t="s">
        <v>13983</v>
      </c>
      <c r="B8552">
        <v>23871</v>
      </c>
      <c r="C8552" t="s">
        <v>6689</v>
      </c>
      <c r="D8552" t="s">
        <v>6168</v>
      </c>
    </row>
    <row r="8553" spans="1:4">
      <c r="A8553" t="s">
        <v>13984</v>
      </c>
      <c r="B8553">
        <v>30387</v>
      </c>
      <c r="C8553" t="s">
        <v>6219</v>
      </c>
      <c r="D8553" t="s">
        <v>6168</v>
      </c>
    </row>
    <row r="8554" spans="1:4">
      <c r="A8554" t="s">
        <v>13985</v>
      </c>
      <c r="B8554">
        <v>4255</v>
      </c>
      <c r="C8554" t="s">
        <v>10366</v>
      </c>
      <c r="D8554" t="s">
        <v>6168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13986</v>
      </c>
      <c r="B8557">
        <v>5241</v>
      </c>
      <c r="C8557" t="s">
        <v>13987</v>
      </c>
      <c r="D8557" t="s">
        <v>6168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13988</v>
      </c>
      <c r="B8560">
        <v>43053</v>
      </c>
      <c r="C8560" t="s">
        <v>9462</v>
      </c>
      <c r="D8560" t="s">
        <v>6168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13989</v>
      </c>
      <c r="B8563">
        <v>23596</v>
      </c>
      <c r="C8563" t="s">
        <v>13990</v>
      </c>
      <c r="D8563" t="s">
        <v>6267</v>
      </c>
    </row>
    <row r="8564" spans="1:4">
      <c r="A8564" t="s">
        <v>13991</v>
      </c>
      <c r="B8564">
        <v>23872</v>
      </c>
      <c r="C8564" t="s">
        <v>13992</v>
      </c>
      <c r="D8564" t="s">
        <v>6305</v>
      </c>
    </row>
    <row r="8565" spans="1:4">
      <c r="A8565" t="s">
        <v>13993</v>
      </c>
      <c r="B8565">
        <v>39461</v>
      </c>
      <c r="C8565" t="s">
        <v>2716</v>
      </c>
      <c r="D8565" t="s">
        <v>6245</v>
      </c>
    </row>
    <row r="8566" spans="1:4">
      <c r="A8566" t="s">
        <v>13994</v>
      </c>
      <c r="B8566">
        <v>22536</v>
      </c>
      <c r="C8566" t="s">
        <v>264</v>
      </c>
      <c r="D8566" t="s">
        <v>6314</v>
      </c>
    </row>
    <row r="8567" spans="1:4">
      <c r="A8567" t="s">
        <v>13995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13996</v>
      </c>
      <c r="B8570">
        <v>20537</v>
      </c>
      <c r="D8570" t="s">
        <v>6305</v>
      </c>
    </row>
    <row r="8571" spans="1:4">
      <c r="A8571" t="s">
        <v>13997</v>
      </c>
      <c r="B8571">
        <v>37104</v>
      </c>
      <c r="C8571" t="s">
        <v>13998</v>
      </c>
      <c r="D8571" t="s">
        <v>6267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13999</v>
      </c>
      <c r="B8573">
        <v>35723</v>
      </c>
      <c r="C8573" t="s">
        <v>14000</v>
      </c>
      <c r="D8573" t="s">
        <v>6168</v>
      </c>
    </row>
    <row r="8574" spans="1:4">
      <c r="A8574" t="s">
        <v>14001</v>
      </c>
      <c r="B8574">
        <v>43525</v>
      </c>
      <c r="C8574" t="s">
        <v>8205</v>
      </c>
      <c r="D8574" t="s">
        <v>123</v>
      </c>
    </row>
    <row r="8575" spans="1:4">
      <c r="A8575" t="s">
        <v>14002</v>
      </c>
      <c r="B8575">
        <v>39468</v>
      </c>
      <c r="C8575" t="s">
        <v>14003</v>
      </c>
      <c r="D8575" t="s">
        <v>6267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14004</v>
      </c>
      <c r="B8577">
        <v>4168</v>
      </c>
      <c r="C8577" t="s">
        <v>12649</v>
      </c>
      <c r="D8577" t="s">
        <v>6168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14005</v>
      </c>
      <c r="B8580">
        <v>22537</v>
      </c>
      <c r="C8580" t="s">
        <v>11884</v>
      </c>
      <c r="D8580" t="s">
        <v>6168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14006</v>
      </c>
      <c r="B8582">
        <v>39701</v>
      </c>
      <c r="C8582" t="s">
        <v>1359</v>
      </c>
      <c r="D8582" t="s">
        <v>6168</v>
      </c>
    </row>
    <row r="8583" spans="1:4">
      <c r="A8583" t="s">
        <v>14007</v>
      </c>
      <c r="B8583">
        <v>29337</v>
      </c>
      <c r="C8583" t="s">
        <v>12315</v>
      </c>
      <c r="D8583" t="s">
        <v>6168</v>
      </c>
    </row>
    <row r="8584" spans="1:4">
      <c r="A8584" t="s">
        <v>14008</v>
      </c>
      <c r="B8584">
        <v>39493</v>
      </c>
      <c r="C8584" t="s">
        <v>1286</v>
      </c>
      <c r="D8584" t="s">
        <v>6267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14009</v>
      </c>
      <c r="B8587">
        <v>39629</v>
      </c>
      <c r="C8587" t="s">
        <v>14010</v>
      </c>
      <c r="D8587" t="s">
        <v>6267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14011</v>
      </c>
      <c r="B8589">
        <v>26141</v>
      </c>
      <c r="C8589" t="s">
        <v>14012</v>
      </c>
      <c r="D8589" t="s">
        <v>6168</v>
      </c>
    </row>
    <row r="8590" spans="1:4">
      <c r="A8590" t="s">
        <v>14013</v>
      </c>
      <c r="B8590">
        <v>26140</v>
      </c>
      <c r="C8590" t="s">
        <v>1209</v>
      </c>
      <c r="D8590" t="s">
        <v>6168</v>
      </c>
    </row>
    <row r="8591" spans="1:4">
      <c r="A8591" t="s">
        <v>14014</v>
      </c>
      <c r="B8591">
        <v>35071</v>
      </c>
      <c r="C8591" t="s">
        <v>14015</v>
      </c>
      <c r="D8591" t="s">
        <v>6168</v>
      </c>
    </row>
    <row r="8592" spans="1:4">
      <c r="A8592" t="s">
        <v>17319</v>
      </c>
      <c r="B8592">
        <v>45405</v>
      </c>
      <c r="C8592" t="s">
        <v>17320</v>
      </c>
      <c r="D8592" t="s">
        <v>123</v>
      </c>
    </row>
    <row r="8593" spans="1:4">
      <c r="A8593" t="s">
        <v>17410</v>
      </c>
      <c r="B8593">
        <v>45498</v>
      </c>
      <c r="C8593" t="s">
        <v>17320</v>
      </c>
      <c r="D8593" t="s">
        <v>6168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14016</v>
      </c>
      <c r="B8595">
        <v>2419</v>
      </c>
      <c r="C8595" t="s">
        <v>11092</v>
      </c>
      <c r="D8595" t="s">
        <v>6168</v>
      </c>
    </row>
    <row r="8596" spans="1:4">
      <c r="A8596" t="s">
        <v>14017</v>
      </c>
      <c r="B8596">
        <v>2420</v>
      </c>
      <c r="C8596" t="s">
        <v>14018</v>
      </c>
      <c r="D8596" t="s">
        <v>6449</v>
      </c>
    </row>
    <row r="8597" spans="1:4">
      <c r="A8597" t="s">
        <v>14019</v>
      </c>
      <c r="B8597">
        <v>20538</v>
      </c>
      <c r="C8597" t="s">
        <v>10467</v>
      </c>
      <c r="D8597" t="s">
        <v>6168</v>
      </c>
    </row>
    <row r="8598" spans="1:4">
      <c r="A8598" t="s">
        <v>14020</v>
      </c>
      <c r="B8598">
        <v>43526</v>
      </c>
      <c r="C8598" t="s">
        <v>264</v>
      </c>
      <c r="D8598" t="s">
        <v>134</v>
      </c>
    </row>
    <row r="8599" spans="1:4">
      <c r="A8599" t="s">
        <v>14021</v>
      </c>
      <c r="B8599">
        <v>42939</v>
      </c>
      <c r="C8599" t="s">
        <v>264</v>
      </c>
      <c r="D8599" t="s">
        <v>6314</v>
      </c>
    </row>
    <row r="8600" spans="1:4">
      <c r="A8600" t="s">
        <v>16886</v>
      </c>
      <c r="B8600">
        <v>43952</v>
      </c>
      <c r="C8600" t="s">
        <v>150</v>
      </c>
      <c r="D8600" t="s">
        <v>123</v>
      </c>
    </row>
    <row r="8601" spans="1:4">
      <c r="A8601" t="s">
        <v>16960</v>
      </c>
      <c r="B8601">
        <v>44025</v>
      </c>
      <c r="C8601" t="s">
        <v>4031</v>
      </c>
      <c r="D8601" t="s">
        <v>6168</v>
      </c>
    </row>
    <row r="8602" spans="1:4">
      <c r="A8602" t="s">
        <v>16961</v>
      </c>
      <c r="B8602">
        <v>44026</v>
      </c>
      <c r="C8602" t="s">
        <v>6424</v>
      </c>
      <c r="D8602" t="s">
        <v>6168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14022</v>
      </c>
      <c r="B8604">
        <v>3646</v>
      </c>
      <c r="C8604" t="s">
        <v>2781</v>
      </c>
      <c r="D8604" t="s">
        <v>6168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14023</v>
      </c>
      <c r="B8606">
        <v>29678</v>
      </c>
      <c r="C8606" t="s">
        <v>14024</v>
      </c>
      <c r="D8606" t="s">
        <v>6168</v>
      </c>
    </row>
    <row r="8607" spans="1:4">
      <c r="A8607" t="s">
        <v>17321</v>
      </c>
      <c r="B8607">
        <v>45406</v>
      </c>
      <c r="C8607" t="s">
        <v>17322</v>
      </c>
      <c r="D8607" t="s">
        <v>6168</v>
      </c>
    </row>
    <row r="8608" spans="1:4">
      <c r="A8608" t="s">
        <v>14025</v>
      </c>
      <c r="B8608">
        <v>23873</v>
      </c>
      <c r="C8608" t="s">
        <v>14026</v>
      </c>
      <c r="D8608" t="s">
        <v>6245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14027</v>
      </c>
      <c r="B8612">
        <v>30653</v>
      </c>
      <c r="C8612" t="s">
        <v>6219</v>
      </c>
      <c r="D8612" t="s">
        <v>6168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14028</v>
      </c>
      <c r="B8614">
        <v>41701</v>
      </c>
      <c r="C8614" t="s">
        <v>14029</v>
      </c>
      <c r="D8614" t="s">
        <v>6168</v>
      </c>
    </row>
    <row r="8615" spans="1:4">
      <c r="A8615" t="s">
        <v>14030</v>
      </c>
      <c r="B8615">
        <v>23150</v>
      </c>
      <c r="C8615" t="s">
        <v>9786</v>
      </c>
      <c r="D8615" t="s">
        <v>6243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14031</v>
      </c>
      <c r="B8617">
        <v>43527</v>
      </c>
      <c r="C8617" t="s">
        <v>8220</v>
      </c>
      <c r="D8617" t="s">
        <v>123</v>
      </c>
    </row>
    <row r="8618" spans="1:4">
      <c r="A8618" t="s">
        <v>14032</v>
      </c>
      <c r="B8618">
        <v>43619</v>
      </c>
      <c r="C8618" t="s">
        <v>14033</v>
      </c>
      <c r="D8618" t="s">
        <v>6168</v>
      </c>
    </row>
    <row r="8619" spans="1:4">
      <c r="A8619" t="s">
        <v>16887</v>
      </c>
      <c r="B8619">
        <v>43953</v>
      </c>
      <c r="C8619" t="s">
        <v>8421</v>
      </c>
      <c r="D8619" t="s">
        <v>6168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14034</v>
      </c>
      <c r="B8621">
        <v>30758</v>
      </c>
      <c r="C8621" t="s">
        <v>6190</v>
      </c>
      <c r="D8621" t="s">
        <v>6168</v>
      </c>
    </row>
    <row r="8622" spans="1:4">
      <c r="A8622" t="s">
        <v>17323</v>
      </c>
      <c r="B8622">
        <v>45407</v>
      </c>
      <c r="C8622" t="s">
        <v>17324</v>
      </c>
      <c r="D8622" t="s">
        <v>123</v>
      </c>
    </row>
    <row r="8623" spans="1:4">
      <c r="A8623" t="s">
        <v>17411</v>
      </c>
      <c r="B8623">
        <v>45499</v>
      </c>
      <c r="C8623" t="s">
        <v>17324</v>
      </c>
      <c r="D8623" t="s">
        <v>6168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14035</v>
      </c>
      <c r="B8625">
        <v>35421</v>
      </c>
      <c r="C8625" t="s">
        <v>6783</v>
      </c>
      <c r="D8625" t="s">
        <v>6168</v>
      </c>
    </row>
    <row r="8626" spans="1:4">
      <c r="A8626" t="s">
        <v>14036</v>
      </c>
      <c r="B8626">
        <v>3152</v>
      </c>
      <c r="D8626" t="s">
        <v>6243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14037</v>
      </c>
      <c r="B8628">
        <v>25810</v>
      </c>
      <c r="C8628" t="s">
        <v>14038</v>
      </c>
      <c r="D8628" t="s">
        <v>6168</v>
      </c>
    </row>
    <row r="8629" spans="1:4">
      <c r="A8629" t="s">
        <v>17412</v>
      </c>
      <c r="B8629">
        <v>45500</v>
      </c>
      <c r="C8629" t="s">
        <v>17413</v>
      </c>
      <c r="D8629" t="s">
        <v>6168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17077</v>
      </c>
      <c r="B8631">
        <v>44333</v>
      </c>
      <c r="C8631" t="s">
        <v>17078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14039</v>
      </c>
      <c r="B8633">
        <v>22539</v>
      </c>
      <c r="C8633" t="s">
        <v>13080</v>
      </c>
      <c r="D8633" t="s">
        <v>6168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14040</v>
      </c>
      <c r="B8636">
        <v>23874</v>
      </c>
      <c r="C8636" t="s">
        <v>8174</v>
      </c>
      <c r="D8636" t="s">
        <v>6168</v>
      </c>
    </row>
    <row r="8637" spans="1:4">
      <c r="A8637" t="s">
        <v>14041</v>
      </c>
      <c r="B8637">
        <v>26138</v>
      </c>
      <c r="C8637" t="s">
        <v>13374</v>
      </c>
      <c r="D8637" t="s">
        <v>6168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14042</v>
      </c>
      <c r="B8639">
        <v>31038</v>
      </c>
      <c r="C8639" t="s">
        <v>6914</v>
      </c>
      <c r="D8639" t="s">
        <v>6168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14043</v>
      </c>
      <c r="B8641">
        <v>35089</v>
      </c>
      <c r="C8641" t="s">
        <v>14044</v>
      </c>
      <c r="D8641" t="s">
        <v>6168</v>
      </c>
    </row>
    <row r="8642" spans="1:4">
      <c r="A8642" t="s">
        <v>14045</v>
      </c>
      <c r="B8642">
        <v>4297</v>
      </c>
      <c r="C8642" t="s">
        <v>13229</v>
      </c>
      <c r="D8642" t="s">
        <v>6168</v>
      </c>
    </row>
    <row r="8643" spans="1:4">
      <c r="A8643" t="s">
        <v>17325</v>
      </c>
      <c r="B8643">
        <v>45408</v>
      </c>
      <c r="C8643" t="s">
        <v>12708</v>
      </c>
      <c r="D8643" t="s">
        <v>6449</v>
      </c>
    </row>
    <row r="8644" spans="1:4">
      <c r="A8644" t="s">
        <v>14046</v>
      </c>
      <c r="B8644">
        <v>35094</v>
      </c>
      <c r="C8644" t="s">
        <v>13229</v>
      </c>
      <c r="D8644" t="s">
        <v>6449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14047</v>
      </c>
      <c r="B8648">
        <v>22542</v>
      </c>
      <c r="C8648" t="s">
        <v>14048</v>
      </c>
      <c r="D8648" t="s">
        <v>6168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14049</v>
      </c>
      <c r="B8650">
        <v>22544</v>
      </c>
      <c r="C8650" t="s">
        <v>8992</v>
      </c>
      <c r="D8650" t="s">
        <v>6168</v>
      </c>
    </row>
    <row r="8651" spans="1:4">
      <c r="A8651" t="s">
        <v>14050</v>
      </c>
      <c r="B8651">
        <v>22545</v>
      </c>
      <c r="C8651" t="s">
        <v>14051</v>
      </c>
      <c r="D8651" t="s">
        <v>6168</v>
      </c>
    </row>
    <row r="8652" spans="1:4">
      <c r="A8652" t="s">
        <v>14052</v>
      </c>
      <c r="B8652">
        <v>22546</v>
      </c>
      <c r="C8652" t="s">
        <v>14053</v>
      </c>
      <c r="D8652" t="s">
        <v>6168</v>
      </c>
    </row>
    <row r="8653" spans="1:4">
      <c r="A8653" t="s">
        <v>14054</v>
      </c>
      <c r="B8653">
        <v>22547</v>
      </c>
      <c r="C8653" t="s">
        <v>540</v>
      </c>
      <c r="D8653" t="s">
        <v>6168</v>
      </c>
    </row>
    <row r="8654" spans="1:4">
      <c r="A8654" t="s">
        <v>14055</v>
      </c>
      <c r="B8654">
        <v>22548</v>
      </c>
      <c r="C8654" t="s">
        <v>540</v>
      </c>
      <c r="D8654" t="s">
        <v>6168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14056</v>
      </c>
      <c r="B8656">
        <v>31473</v>
      </c>
      <c r="C8656" t="s">
        <v>9192</v>
      </c>
      <c r="D8656" t="s">
        <v>6168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14057</v>
      </c>
      <c r="B8658">
        <v>34138</v>
      </c>
      <c r="C8658" t="s">
        <v>1903</v>
      </c>
      <c r="D8658" t="s">
        <v>6168</v>
      </c>
    </row>
    <row r="8659" spans="1:4">
      <c r="A8659" t="s">
        <v>14058</v>
      </c>
      <c r="B8659">
        <v>165</v>
      </c>
      <c r="C8659" t="s">
        <v>14059</v>
      </c>
      <c r="D8659" t="s">
        <v>6168</v>
      </c>
    </row>
    <row r="8660" spans="1:4">
      <c r="A8660" t="s">
        <v>14060</v>
      </c>
      <c r="B8660">
        <v>166</v>
      </c>
      <c r="C8660" t="s">
        <v>13032</v>
      </c>
      <c r="D8660" t="s">
        <v>6168</v>
      </c>
    </row>
    <row r="8661" spans="1:4">
      <c r="A8661" t="s">
        <v>14061</v>
      </c>
      <c r="B8661">
        <v>167</v>
      </c>
      <c r="C8661" t="s">
        <v>432</v>
      </c>
      <c r="D8661" t="s">
        <v>6168</v>
      </c>
    </row>
    <row r="8662" spans="1:4">
      <c r="A8662" t="s">
        <v>14062</v>
      </c>
      <c r="B8662">
        <v>168</v>
      </c>
      <c r="C8662" t="s">
        <v>14063</v>
      </c>
      <c r="D8662" t="s">
        <v>6168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14064</v>
      </c>
      <c r="B8665">
        <v>151</v>
      </c>
      <c r="C8665" t="s">
        <v>7124</v>
      </c>
      <c r="D8665" t="s">
        <v>6168</v>
      </c>
    </row>
    <row r="8666" spans="1:4">
      <c r="A8666" t="s">
        <v>14065</v>
      </c>
      <c r="B8666">
        <v>152</v>
      </c>
      <c r="C8666" t="s">
        <v>14066</v>
      </c>
      <c r="D8666" t="s">
        <v>6168</v>
      </c>
    </row>
    <row r="8667" spans="1:4">
      <c r="A8667" t="s">
        <v>14067</v>
      </c>
      <c r="B8667">
        <v>31753</v>
      </c>
      <c r="C8667" t="s">
        <v>7589</v>
      </c>
      <c r="D8667" t="s">
        <v>6168</v>
      </c>
    </row>
    <row r="8668" spans="1:4">
      <c r="A8668" t="s">
        <v>14068</v>
      </c>
      <c r="B8668">
        <v>153</v>
      </c>
      <c r="C8668" t="s">
        <v>14069</v>
      </c>
      <c r="D8668" t="s">
        <v>6168</v>
      </c>
    </row>
    <row r="8669" spans="1:4">
      <c r="A8669" t="s">
        <v>14070</v>
      </c>
      <c r="B8669">
        <v>31133</v>
      </c>
      <c r="C8669" t="s">
        <v>11810</v>
      </c>
      <c r="D8669" t="s">
        <v>6168</v>
      </c>
    </row>
    <row r="8670" spans="1:4">
      <c r="A8670" t="s">
        <v>14071</v>
      </c>
      <c r="B8670">
        <v>154</v>
      </c>
      <c r="C8670" t="s">
        <v>14072</v>
      </c>
      <c r="D8670" t="s">
        <v>6168</v>
      </c>
    </row>
    <row r="8671" spans="1:4">
      <c r="A8671" t="s">
        <v>14073</v>
      </c>
      <c r="B8671">
        <v>31754</v>
      </c>
      <c r="C8671" t="s">
        <v>14074</v>
      </c>
      <c r="D8671" t="s">
        <v>6168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14075</v>
      </c>
      <c r="B8673">
        <v>20539</v>
      </c>
      <c r="D8673" t="s">
        <v>6314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14076</v>
      </c>
      <c r="B8675">
        <v>38284</v>
      </c>
      <c r="C8675" t="s">
        <v>6558</v>
      </c>
      <c r="D8675" t="s">
        <v>6168</v>
      </c>
    </row>
    <row r="8676" spans="1:4">
      <c r="A8676" t="s">
        <v>14077</v>
      </c>
      <c r="B8676">
        <v>38279</v>
      </c>
      <c r="C8676" t="s">
        <v>4950</v>
      </c>
      <c r="D8676" t="s">
        <v>6168</v>
      </c>
    </row>
    <row r="8677" spans="1:4">
      <c r="A8677" t="s">
        <v>17326</v>
      </c>
      <c r="B8677">
        <v>45409</v>
      </c>
      <c r="C8677" t="s">
        <v>764</v>
      </c>
      <c r="D8677" t="s">
        <v>123</v>
      </c>
    </row>
    <row r="8678" spans="1:4">
      <c r="A8678" t="s">
        <v>17414</v>
      </c>
      <c r="B8678">
        <v>45501</v>
      </c>
      <c r="C8678" t="s">
        <v>6558</v>
      </c>
      <c r="D8678" t="s">
        <v>6168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14078</v>
      </c>
      <c r="B8680">
        <v>22550</v>
      </c>
      <c r="C8680" t="s">
        <v>14079</v>
      </c>
      <c r="D8680" t="s">
        <v>6168</v>
      </c>
    </row>
    <row r="8681" spans="1:4">
      <c r="A8681" t="s">
        <v>14080</v>
      </c>
      <c r="B8681">
        <v>22551</v>
      </c>
      <c r="C8681" t="s">
        <v>14081</v>
      </c>
      <c r="D8681" t="s">
        <v>6168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14082</v>
      </c>
      <c r="B8683">
        <v>24808</v>
      </c>
      <c r="C8683" t="s">
        <v>6974</v>
      </c>
      <c r="D8683" t="s">
        <v>6168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14083</v>
      </c>
      <c r="B8685">
        <v>22553</v>
      </c>
      <c r="C8685" t="s">
        <v>14084</v>
      </c>
      <c r="D8685" t="s">
        <v>6168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14085</v>
      </c>
      <c r="B8689">
        <v>30723</v>
      </c>
      <c r="C8689" t="s">
        <v>7885</v>
      </c>
      <c r="D8689" t="s">
        <v>6168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14086</v>
      </c>
      <c r="B8691">
        <v>22556</v>
      </c>
      <c r="C8691" t="s">
        <v>11725</v>
      </c>
      <c r="D8691" t="s">
        <v>6168</v>
      </c>
    </row>
    <row r="8692" spans="1:4">
      <c r="A8692" t="s">
        <v>14087</v>
      </c>
      <c r="B8692">
        <v>22557</v>
      </c>
      <c r="C8692" t="s">
        <v>14088</v>
      </c>
      <c r="D8692" t="s">
        <v>6168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14089</v>
      </c>
      <c r="B8694">
        <v>34068</v>
      </c>
      <c r="C8694" t="s">
        <v>8508</v>
      </c>
      <c r="D8694" t="s">
        <v>6168</v>
      </c>
    </row>
    <row r="8695" spans="1:4">
      <c r="A8695" t="s">
        <v>14090</v>
      </c>
      <c r="B8695">
        <v>25711</v>
      </c>
      <c r="C8695" t="s">
        <v>1899</v>
      </c>
      <c r="D8695" t="s">
        <v>6168</v>
      </c>
    </row>
    <row r="8696" spans="1:4">
      <c r="A8696" t="s">
        <v>14091</v>
      </c>
      <c r="B8696">
        <v>24927</v>
      </c>
      <c r="C8696" t="s">
        <v>1899</v>
      </c>
      <c r="D8696" t="s">
        <v>6168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14092</v>
      </c>
      <c r="B8698">
        <v>22559</v>
      </c>
      <c r="C8698" t="s">
        <v>14093</v>
      </c>
      <c r="D8698" t="s">
        <v>6168</v>
      </c>
    </row>
    <row r="8699" spans="1:4">
      <c r="A8699" t="s">
        <v>17554</v>
      </c>
      <c r="B8699">
        <v>45991</v>
      </c>
      <c r="C8699" t="s">
        <v>2939</v>
      </c>
      <c r="D8699" t="s">
        <v>123</v>
      </c>
    </row>
    <row r="8700" spans="1:4">
      <c r="A8700" t="s">
        <v>17577</v>
      </c>
      <c r="B8700">
        <v>46847</v>
      </c>
      <c r="C8700" t="s">
        <v>6924</v>
      </c>
      <c r="D8700" t="s">
        <v>6168</v>
      </c>
    </row>
    <row r="8701" spans="1:4">
      <c r="A8701" t="s">
        <v>16672</v>
      </c>
      <c r="B8701">
        <v>22560</v>
      </c>
      <c r="C8701" t="s">
        <v>13354</v>
      </c>
      <c r="D8701" t="s">
        <v>6267</v>
      </c>
    </row>
    <row r="8702" spans="1:4">
      <c r="A8702" t="s">
        <v>16888</v>
      </c>
      <c r="B8702">
        <v>43954</v>
      </c>
      <c r="C8702" t="s">
        <v>16889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14094</v>
      </c>
      <c r="B8704">
        <v>29284</v>
      </c>
      <c r="C8704" t="s">
        <v>367</v>
      </c>
      <c r="D8704" t="s">
        <v>6168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14095</v>
      </c>
      <c r="B8706">
        <v>35664</v>
      </c>
      <c r="C8706" t="s">
        <v>14096</v>
      </c>
      <c r="D8706" t="s">
        <v>6168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14097</v>
      </c>
      <c r="B8708">
        <v>34157</v>
      </c>
      <c r="C8708" t="s">
        <v>14098</v>
      </c>
      <c r="D8708" t="s">
        <v>6168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14099</v>
      </c>
      <c r="B8710">
        <v>22562</v>
      </c>
      <c r="C8710" t="s">
        <v>7029</v>
      </c>
      <c r="D8710" t="s">
        <v>6168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14100</v>
      </c>
      <c r="B8712">
        <v>5226</v>
      </c>
      <c r="C8712" t="s">
        <v>1421</v>
      </c>
      <c r="D8712" t="s">
        <v>6168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14101</v>
      </c>
      <c r="B8716">
        <v>3078</v>
      </c>
      <c r="C8716" t="s">
        <v>14102</v>
      </c>
      <c r="D8716" t="s">
        <v>6168</v>
      </c>
    </row>
    <row r="8717" spans="1:4">
      <c r="A8717" t="s">
        <v>14103</v>
      </c>
      <c r="B8717">
        <v>3151</v>
      </c>
      <c r="C8717" t="s">
        <v>9324</v>
      </c>
      <c r="D8717" t="s">
        <v>6168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14104</v>
      </c>
      <c r="B8719">
        <v>2758</v>
      </c>
      <c r="C8719" t="s">
        <v>6417</v>
      </c>
      <c r="D8719" t="s">
        <v>6168</v>
      </c>
    </row>
    <row r="8720" spans="1:4">
      <c r="A8720" t="s">
        <v>14105</v>
      </c>
      <c r="B8720">
        <v>30410</v>
      </c>
      <c r="C8720" t="s">
        <v>14106</v>
      </c>
      <c r="D8720" t="s">
        <v>6267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14107</v>
      </c>
      <c r="B8722">
        <v>20589</v>
      </c>
      <c r="C8722" t="s">
        <v>14108</v>
      </c>
      <c r="D8722" t="s">
        <v>6168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14109</v>
      </c>
      <c r="B8726">
        <v>23876</v>
      </c>
      <c r="C8726" t="s">
        <v>4950</v>
      </c>
      <c r="D8726" t="s">
        <v>6168</v>
      </c>
    </row>
    <row r="8727" spans="1:4">
      <c r="A8727" t="s">
        <v>14110</v>
      </c>
      <c r="B8727">
        <v>3330</v>
      </c>
      <c r="D8727" t="s">
        <v>6245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14111</v>
      </c>
      <c r="B8729">
        <v>25211</v>
      </c>
      <c r="C8729" t="s">
        <v>2725</v>
      </c>
      <c r="D8729" t="s">
        <v>6248</v>
      </c>
    </row>
    <row r="8730" spans="1:4">
      <c r="A8730" t="s">
        <v>14112</v>
      </c>
      <c r="B8730">
        <v>25360</v>
      </c>
      <c r="C8730" t="s">
        <v>6317</v>
      </c>
      <c r="D8730" t="s">
        <v>6168</v>
      </c>
    </row>
    <row r="8731" spans="1:4">
      <c r="A8731" t="s">
        <v>14113</v>
      </c>
      <c r="B8731">
        <v>31424</v>
      </c>
      <c r="C8731" t="s">
        <v>6317</v>
      </c>
      <c r="D8731" t="s">
        <v>6449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16704</v>
      </c>
      <c r="D8733" t="s">
        <v>123</v>
      </c>
    </row>
    <row r="8734" spans="1:4">
      <c r="A8734" t="s">
        <v>14114</v>
      </c>
      <c r="B8734">
        <v>42378</v>
      </c>
      <c r="C8734" t="s">
        <v>14115</v>
      </c>
      <c r="D8734" t="s">
        <v>6168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14116</v>
      </c>
      <c r="B8736">
        <v>31170</v>
      </c>
      <c r="C8736" t="s">
        <v>14117</v>
      </c>
      <c r="D8736" t="s">
        <v>6248</v>
      </c>
    </row>
    <row r="8737" spans="1:4">
      <c r="A8737" t="s">
        <v>14118</v>
      </c>
      <c r="B8737">
        <v>35358</v>
      </c>
      <c r="C8737" t="s">
        <v>14119</v>
      </c>
      <c r="D8737" t="s">
        <v>6168</v>
      </c>
    </row>
    <row r="8738" spans="1:4">
      <c r="A8738" t="s">
        <v>14120</v>
      </c>
      <c r="B8738">
        <v>25033</v>
      </c>
      <c r="C8738" t="s">
        <v>14117</v>
      </c>
      <c r="D8738" t="s">
        <v>6168</v>
      </c>
    </row>
    <row r="8739" spans="1:4">
      <c r="A8739" t="s">
        <v>14121</v>
      </c>
      <c r="B8739">
        <v>23877</v>
      </c>
      <c r="D8739" t="s">
        <v>6245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14122</v>
      </c>
      <c r="B8741">
        <v>23254</v>
      </c>
      <c r="C8741" t="s">
        <v>14123</v>
      </c>
      <c r="D8741" t="s">
        <v>6605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14124</v>
      </c>
      <c r="B8743">
        <v>39762</v>
      </c>
      <c r="C8743" t="s">
        <v>519</v>
      </c>
      <c r="D8743" t="s">
        <v>6314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14125</v>
      </c>
      <c r="B8745">
        <v>22564</v>
      </c>
      <c r="C8745" t="s">
        <v>14126</v>
      </c>
      <c r="D8745" t="s">
        <v>6168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14127</v>
      </c>
      <c r="B8747">
        <v>30391</v>
      </c>
      <c r="C8747" t="s">
        <v>14128</v>
      </c>
      <c r="D8747" t="s">
        <v>6168</v>
      </c>
    </row>
    <row r="8748" spans="1:4">
      <c r="A8748" t="s">
        <v>14129</v>
      </c>
      <c r="B8748">
        <v>23878</v>
      </c>
      <c r="C8748" t="s">
        <v>6914</v>
      </c>
      <c r="D8748" t="s">
        <v>6168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14130</v>
      </c>
      <c r="B8752">
        <v>24813</v>
      </c>
      <c r="C8752" t="s">
        <v>7430</v>
      </c>
      <c r="D8752" t="s">
        <v>6168</v>
      </c>
    </row>
    <row r="8753" spans="1:4">
      <c r="A8753" t="s">
        <v>14131</v>
      </c>
      <c r="B8753">
        <v>30422</v>
      </c>
      <c r="C8753" t="s">
        <v>14132</v>
      </c>
      <c r="D8753" t="s">
        <v>6168</v>
      </c>
    </row>
    <row r="8754" spans="1:4">
      <c r="A8754" t="s">
        <v>14133</v>
      </c>
      <c r="B8754">
        <v>24814</v>
      </c>
      <c r="C8754" t="s">
        <v>11375</v>
      </c>
      <c r="D8754" t="s">
        <v>6168</v>
      </c>
    </row>
    <row r="8755" spans="1:4">
      <c r="A8755" t="s">
        <v>14134</v>
      </c>
      <c r="B8755">
        <v>24815</v>
      </c>
      <c r="C8755" t="s">
        <v>6394</v>
      </c>
      <c r="D8755" t="s">
        <v>6168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14135</v>
      </c>
      <c r="B8757">
        <v>4489</v>
      </c>
      <c r="C8757" t="s">
        <v>8533</v>
      </c>
      <c r="D8757" t="s">
        <v>6168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14136</v>
      </c>
      <c r="B8760">
        <v>4491</v>
      </c>
      <c r="C8760" t="s">
        <v>14137</v>
      </c>
      <c r="D8760" t="s">
        <v>6168</v>
      </c>
    </row>
    <row r="8761" spans="1:4">
      <c r="A8761" t="s">
        <v>17327</v>
      </c>
      <c r="B8761">
        <v>45411</v>
      </c>
      <c r="C8761" t="s">
        <v>17328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14138</v>
      </c>
      <c r="B8763">
        <v>24259</v>
      </c>
      <c r="C8763" t="s">
        <v>6219</v>
      </c>
      <c r="D8763" t="s">
        <v>6168</v>
      </c>
    </row>
    <row r="8764" spans="1:4">
      <c r="A8764" t="s">
        <v>17329</v>
      </c>
      <c r="B8764">
        <v>45412</v>
      </c>
      <c r="C8764" t="s">
        <v>6194</v>
      </c>
      <c r="D8764" t="s">
        <v>6168</v>
      </c>
    </row>
    <row r="8765" spans="1:4">
      <c r="A8765" t="s">
        <v>14139</v>
      </c>
      <c r="B8765">
        <v>34072</v>
      </c>
      <c r="C8765" t="s">
        <v>14140</v>
      </c>
      <c r="D8765" t="s">
        <v>6168</v>
      </c>
    </row>
    <row r="8766" spans="1:4">
      <c r="A8766" t="s">
        <v>14141</v>
      </c>
      <c r="B8766">
        <v>35618</v>
      </c>
      <c r="C8766" t="s">
        <v>3262</v>
      </c>
      <c r="D8766" t="s">
        <v>6168</v>
      </c>
    </row>
    <row r="8767" spans="1:4">
      <c r="A8767" t="s">
        <v>14142</v>
      </c>
      <c r="B8767">
        <v>31294</v>
      </c>
      <c r="C8767" t="s">
        <v>14143</v>
      </c>
      <c r="D8767" t="s">
        <v>6168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14144</v>
      </c>
      <c r="B8769">
        <v>22565</v>
      </c>
      <c r="C8769" t="s">
        <v>1237</v>
      </c>
      <c r="D8769" t="s">
        <v>6314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14145</v>
      </c>
      <c r="B8772">
        <v>23346</v>
      </c>
      <c r="C8772" t="s">
        <v>6585</v>
      </c>
      <c r="D8772" t="s">
        <v>6168</v>
      </c>
    </row>
    <row r="8773" spans="1:4">
      <c r="A8773" t="s">
        <v>14146</v>
      </c>
      <c r="B8773">
        <v>3838</v>
      </c>
      <c r="C8773" t="s">
        <v>6585</v>
      </c>
      <c r="D8773" t="s">
        <v>6168</v>
      </c>
    </row>
    <row r="8774" spans="1:4">
      <c r="A8774" t="s">
        <v>14147</v>
      </c>
      <c r="B8774">
        <v>3837</v>
      </c>
      <c r="C8774" t="s">
        <v>14148</v>
      </c>
      <c r="D8774" t="s">
        <v>6449</v>
      </c>
    </row>
    <row r="8775" spans="1:4">
      <c r="A8775" t="s">
        <v>14149</v>
      </c>
      <c r="B8775">
        <v>3839</v>
      </c>
      <c r="C8775" t="s">
        <v>10837</v>
      </c>
      <c r="D8775" t="s">
        <v>6168</v>
      </c>
    </row>
    <row r="8776" spans="1:4">
      <c r="A8776" t="s">
        <v>14150</v>
      </c>
      <c r="B8776">
        <v>3840</v>
      </c>
      <c r="C8776" t="s">
        <v>11269</v>
      </c>
      <c r="D8776" t="s">
        <v>6168</v>
      </c>
    </row>
    <row r="8777" spans="1:4">
      <c r="A8777" t="s">
        <v>14151</v>
      </c>
      <c r="B8777">
        <v>3841</v>
      </c>
      <c r="C8777" t="s">
        <v>13310</v>
      </c>
      <c r="D8777" t="s">
        <v>6168</v>
      </c>
    </row>
    <row r="8778" spans="1:4">
      <c r="A8778" t="s">
        <v>14152</v>
      </c>
      <c r="B8778">
        <v>3842</v>
      </c>
      <c r="C8778" t="s">
        <v>6585</v>
      </c>
      <c r="D8778" t="s">
        <v>6168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14153</v>
      </c>
      <c r="B8782">
        <v>20540</v>
      </c>
      <c r="C8782" t="s">
        <v>1583</v>
      </c>
      <c r="D8782" t="s">
        <v>6314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14154</v>
      </c>
      <c r="B8784">
        <v>2291</v>
      </c>
      <c r="C8784" t="s">
        <v>14155</v>
      </c>
      <c r="D8784" t="s">
        <v>6168</v>
      </c>
    </row>
    <row r="8785" spans="1:4">
      <c r="A8785" t="s">
        <v>14156</v>
      </c>
      <c r="B8785">
        <v>2292</v>
      </c>
      <c r="C8785" t="s">
        <v>1820</v>
      </c>
      <c r="D8785" t="s">
        <v>6168</v>
      </c>
    </row>
    <row r="8786" spans="1:4">
      <c r="A8786" t="s">
        <v>14157</v>
      </c>
      <c r="B8786">
        <v>2293</v>
      </c>
      <c r="C8786" t="s">
        <v>14158</v>
      </c>
      <c r="D8786" t="s">
        <v>6168</v>
      </c>
    </row>
    <row r="8787" spans="1:4">
      <c r="A8787" t="s">
        <v>14159</v>
      </c>
      <c r="B8787">
        <v>2294</v>
      </c>
      <c r="C8787" t="s">
        <v>1587</v>
      </c>
      <c r="D8787" t="s">
        <v>6168</v>
      </c>
    </row>
    <row r="8788" spans="1:4">
      <c r="A8788" t="s">
        <v>14160</v>
      </c>
      <c r="B8788">
        <v>2295</v>
      </c>
      <c r="C8788" t="s">
        <v>13631</v>
      </c>
      <c r="D8788" t="s">
        <v>6168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14161</v>
      </c>
      <c r="B8790">
        <v>43530</v>
      </c>
      <c r="C8790" t="s">
        <v>7173</v>
      </c>
      <c r="D8790" t="s">
        <v>6168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14162</v>
      </c>
      <c r="B8793">
        <v>22568</v>
      </c>
      <c r="C8793" t="s">
        <v>8838</v>
      </c>
      <c r="D8793" t="s">
        <v>6168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14163</v>
      </c>
      <c r="B8795">
        <v>22570</v>
      </c>
      <c r="C8795" t="s">
        <v>2310</v>
      </c>
      <c r="D8795" t="s">
        <v>6267</v>
      </c>
    </row>
    <row r="8796" spans="1:4">
      <c r="A8796" t="s">
        <v>14164</v>
      </c>
      <c r="B8796">
        <v>22571</v>
      </c>
      <c r="C8796" t="s">
        <v>2310</v>
      </c>
      <c r="D8796" t="s">
        <v>6314</v>
      </c>
    </row>
    <row r="8797" spans="1:4">
      <c r="A8797" t="s">
        <v>14165</v>
      </c>
      <c r="B8797">
        <v>27375</v>
      </c>
      <c r="C8797" t="s">
        <v>14166</v>
      </c>
      <c r="D8797" t="s">
        <v>6245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14167</v>
      </c>
      <c r="B8799">
        <v>22573</v>
      </c>
      <c r="C8799" t="s">
        <v>7029</v>
      </c>
      <c r="D8799" t="s">
        <v>6168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14168</v>
      </c>
      <c r="B8801">
        <v>38771</v>
      </c>
      <c r="C8801" t="s">
        <v>3226</v>
      </c>
      <c r="D8801" t="s">
        <v>6168</v>
      </c>
    </row>
    <row r="8802" spans="1:4">
      <c r="A8802" t="s">
        <v>14169</v>
      </c>
      <c r="B8802">
        <v>25361</v>
      </c>
      <c r="C8802" t="s">
        <v>638</v>
      </c>
      <c r="D8802" t="s">
        <v>6168</v>
      </c>
    </row>
    <row r="8803" spans="1:4">
      <c r="A8803" t="s">
        <v>14170</v>
      </c>
      <c r="B8803">
        <v>25364</v>
      </c>
      <c r="C8803" t="s">
        <v>2636</v>
      </c>
      <c r="D8803" t="s">
        <v>6168</v>
      </c>
    </row>
    <row r="8804" spans="1:4">
      <c r="A8804" t="s">
        <v>14171</v>
      </c>
      <c r="B8804">
        <v>25363</v>
      </c>
      <c r="C8804" t="s">
        <v>8005</v>
      </c>
      <c r="D8804" t="s">
        <v>6168</v>
      </c>
    </row>
    <row r="8805" spans="1:4">
      <c r="A8805" t="s">
        <v>14172</v>
      </c>
      <c r="B8805">
        <v>25674</v>
      </c>
      <c r="C8805" t="s">
        <v>2918</v>
      </c>
      <c r="D8805" t="s">
        <v>6168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16890</v>
      </c>
      <c r="B8808">
        <v>43955</v>
      </c>
      <c r="C8808" t="s">
        <v>16891</v>
      </c>
      <c r="D8808" t="s">
        <v>6267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14173</v>
      </c>
      <c r="B8810">
        <v>29785</v>
      </c>
      <c r="C8810" t="s">
        <v>9950</v>
      </c>
      <c r="D8810" t="s">
        <v>6168</v>
      </c>
    </row>
    <row r="8811" spans="1:4">
      <c r="A8811" t="s">
        <v>14174</v>
      </c>
      <c r="B8811">
        <v>29767</v>
      </c>
      <c r="C8811" t="s">
        <v>6409</v>
      </c>
      <c r="D8811" t="s">
        <v>6168</v>
      </c>
    </row>
    <row r="8812" spans="1:4">
      <c r="A8812" t="s">
        <v>14175</v>
      </c>
      <c r="B8812">
        <v>29805</v>
      </c>
      <c r="C8812" t="s">
        <v>8466</v>
      </c>
      <c r="D8812" t="s">
        <v>6168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14176</v>
      </c>
      <c r="B8814">
        <v>33889</v>
      </c>
      <c r="C8814" t="s">
        <v>6851</v>
      </c>
      <c r="D8814" t="s">
        <v>6168</v>
      </c>
    </row>
    <row r="8815" spans="1:4">
      <c r="A8815" t="s">
        <v>14177</v>
      </c>
      <c r="B8815">
        <v>41235</v>
      </c>
      <c r="C8815" t="s">
        <v>10318</v>
      </c>
      <c r="D8815" t="s">
        <v>6168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6872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14178</v>
      </c>
      <c r="B8820">
        <v>37356</v>
      </c>
      <c r="C8820" t="s">
        <v>2421</v>
      </c>
      <c r="D8820" t="s">
        <v>6168</v>
      </c>
    </row>
    <row r="8821" spans="1:4">
      <c r="A8821" t="s">
        <v>14179</v>
      </c>
      <c r="B8821">
        <v>23000</v>
      </c>
      <c r="C8821" t="s">
        <v>14180</v>
      </c>
      <c r="D8821" t="s">
        <v>6168</v>
      </c>
    </row>
    <row r="8822" spans="1:4">
      <c r="A8822" t="s">
        <v>14181</v>
      </c>
      <c r="B8822">
        <v>26131</v>
      </c>
      <c r="C8822" t="s">
        <v>2421</v>
      </c>
      <c r="D8822" t="s">
        <v>6168</v>
      </c>
    </row>
    <row r="8823" spans="1:4">
      <c r="A8823" t="s">
        <v>14182</v>
      </c>
      <c r="B8823">
        <v>23001</v>
      </c>
      <c r="C8823" t="s">
        <v>14183</v>
      </c>
      <c r="D8823" t="s">
        <v>6168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14184</v>
      </c>
      <c r="B8826">
        <v>30386</v>
      </c>
      <c r="C8826" t="s">
        <v>8696</v>
      </c>
      <c r="D8826" t="s">
        <v>6168</v>
      </c>
    </row>
    <row r="8827" spans="1:4">
      <c r="A8827" t="s">
        <v>14185</v>
      </c>
      <c r="B8827">
        <v>24260</v>
      </c>
      <c r="C8827" t="s">
        <v>7360</v>
      </c>
      <c r="D8827" t="s">
        <v>6168</v>
      </c>
    </row>
    <row r="8828" spans="1:4">
      <c r="A8828" t="s">
        <v>14186</v>
      </c>
      <c r="B8828">
        <v>30487</v>
      </c>
      <c r="C8828" t="s">
        <v>7410</v>
      </c>
      <c r="D8828" t="s">
        <v>6168</v>
      </c>
    </row>
    <row r="8829" spans="1:4">
      <c r="A8829" t="s">
        <v>14187</v>
      </c>
      <c r="B8829">
        <v>42930</v>
      </c>
      <c r="C8829" t="s">
        <v>5440</v>
      </c>
      <c r="D8829" t="s">
        <v>6168</v>
      </c>
    </row>
    <row r="8830" spans="1:4">
      <c r="A8830" t="s">
        <v>14188</v>
      </c>
      <c r="B8830">
        <v>40462</v>
      </c>
      <c r="C8830" t="s">
        <v>1201</v>
      </c>
      <c r="D8830" t="s">
        <v>6314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14189</v>
      </c>
      <c r="B8833">
        <v>38819</v>
      </c>
      <c r="C8833" t="s">
        <v>14190</v>
      </c>
      <c r="D8833" t="s">
        <v>6168</v>
      </c>
    </row>
    <row r="8834" spans="1:4">
      <c r="A8834" t="s">
        <v>14191</v>
      </c>
      <c r="B8834">
        <v>40461</v>
      </c>
      <c r="C8834" t="s">
        <v>3045</v>
      </c>
      <c r="D8834" t="s">
        <v>6314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14192</v>
      </c>
      <c r="B8836">
        <v>39576</v>
      </c>
      <c r="C8836" t="s">
        <v>14193</v>
      </c>
      <c r="D8836" t="s">
        <v>6267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14194</v>
      </c>
      <c r="B8838">
        <v>29362</v>
      </c>
      <c r="C8838" t="s">
        <v>10665</v>
      </c>
      <c r="D8838" t="s">
        <v>6168</v>
      </c>
    </row>
    <row r="8839" spans="1:4">
      <c r="A8839" t="s">
        <v>14195</v>
      </c>
      <c r="B8839">
        <v>4394</v>
      </c>
      <c r="C8839" t="s">
        <v>3065</v>
      </c>
      <c r="D8839" t="s">
        <v>6245</v>
      </c>
    </row>
    <row r="8840" spans="1:4">
      <c r="A8840" t="s">
        <v>14196</v>
      </c>
      <c r="B8840">
        <v>23882</v>
      </c>
      <c r="C8840" t="s">
        <v>14197</v>
      </c>
      <c r="D8840" t="s">
        <v>6314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14198</v>
      </c>
      <c r="B8842">
        <v>2332</v>
      </c>
      <c r="C8842" t="s">
        <v>14199</v>
      </c>
      <c r="D8842" t="s">
        <v>6168</v>
      </c>
    </row>
    <row r="8843" spans="1:4">
      <c r="A8843" t="s">
        <v>14200</v>
      </c>
      <c r="B8843">
        <v>2333</v>
      </c>
      <c r="C8843" t="s">
        <v>2597</v>
      </c>
      <c r="D8843" t="s">
        <v>6168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16682</v>
      </c>
      <c r="B8845">
        <v>20541</v>
      </c>
      <c r="C8845" t="s">
        <v>409</v>
      </c>
      <c r="D8845" t="s">
        <v>6314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14201</v>
      </c>
      <c r="B8847">
        <v>4071</v>
      </c>
      <c r="C8847" t="s">
        <v>3978</v>
      </c>
      <c r="D8847" t="s">
        <v>6168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14202</v>
      </c>
      <c r="B8849">
        <v>39563</v>
      </c>
      <c r="C8849" t="s">
        <v>5266</v>
      </c>
      <c r="D8849" t="s">
        <v>6267</v>
      </c>
    </row>
    <row r="8850" spans="1:4">
      <c r="A8850" t="s">
        <v>14203</v>
      </c>
      <c r="B8850">
        <v>23883</v>
      </c>
      <c r="C8850" t="s">
        <v>5266</v>
      </c>
      <c r="D8850" t="s">
        <v>6314</v>
      </c>
    </row>
    <row r="8851" spans="1:4">
      <c r="A8851" t="s">
        <v>14204</v>
      </c>
      <c r="B8851">
        <v>20719</v>
      </c>
      <c r="D8851" t="s">
        <v>6605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14205</v>
      </c>
      <c r="B8853">
        <v>42801</v>
      </c>
      <c r="C8853" t="s">
        <v>14206</v>
      </c>
      <c r="D8853" t="s">
        <v>6305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14207</v>
      </c>
      <c r="B8855">
        <v>43531</v>
      </c>
      <c r="C8855" t="s">
        <v>6330</v>
      </c>
      <c r="D8855" t="s">
        <v>6168</v>
      </c>
    </row>
    <row r="8856" spans="1:4">
      <c r="A8856" t="s">
        <v>14208</v>
      </c>
      <c r="B8856">
        <v>43620</v>
      </c>
      <c r="C8856" t="s">
        <v>3964</v>
      </c>
      <c r="D8856" t="s">
        <v>123</v>
      </c>
    </row>
    <row r="8857" spans="1:4">
      <c r="A8857" t="s">
        <v>16892</v>
      </c>
      <c r="B8857">
        <v>43956</v>
      </c>
      <c r="C8857" t="s">
        <v>16893</v>
      </c>
      <c r="D8857" t="s">
        <v>6168</v>
      </c>
    </row>
    <row r="8858" spans="1:4">
      <c r="A8858" t="s">
        <v>14209</v>
      </c>
      <c r="B8858">
        <v>43626</v>
      </c>
      <c r="C8858" t="s">
        <v>14210</v>
      </c>
      <c r="D8858" t="s">
        <v>6168</v>
      </c>
    </row>
    <row r="8859" spans="1:4">
      <c r="A8859" t="s">
        <v>16894</v>
      </c>
      <c r="B8859">
        <v>43957</v>
      </c>
      <c r="C8859" t="s">
        <v>1364</v>
      </c>
      <c r="D8859" t="s">
        <v>6168</v>
      </c>
    </row>
    <row r="8860" spans="1:4">
      <c r="A8860" t="s">
        <v>16895</v>
      </c>
      <c r="B8860">
        <v>43958</v>
      </c>
      <c r="C8860" t="s">
        <v>1189</v>
      </c>
      <c r="D8860" t="s">
        <v>6168</v>
      </c>
    </row>
    <row r="8861" spans="1:4">
      <c r="A8861" t="s">
        <v>16896</v>
      </c>
      <c r="B8861">
        <v>43959</v>
      </c>
      <c r="C8861" t="s">
        <v>16897</v>
      </c>
      <c r="D8861" t="s">
        <v>123</v>
      </c>
    </row>
    <row r="8862" spans="1:4">
      <c r="A8862" t="s">
        <v>16962</v>
      </c>
      <c r="B8862">
        <v>44027</v>
      </c>
      <c r="C8862" t="s">
        <v>14216</v>
      </c>
      <c r="D8862" t="s">
        <v>6168</v>
      </c>
    </row>
    <row r="8863" spans="1:4">
      <c r="A8863" t="s">
        <v>16963</v>
      </c>
      <c r="B8863">
        <v>44028</v>
      </c>
      <c r="C8863" t="s">
        <v>16964</v>
      </c>
      <c r="D8863" t="s">
        <v>6168</v>
      </c>
    </row>
    <row r="8864" spans="1:4">
      <c r="A8864" t="s">
        <v>14211</v>
      </c>
      <c r="B8864">
        <v>43532</v>
      </c>
      <c r="C8864" t="s">
        <v>4661</v>
      </c>
      <c r="D8864" t="s">
        <v>134</v>
      </c>
    </row>
    <row r="8865" spans="1:4">
      <c r="A8865" t="s">
        <v>14212</v>
      </c>
      <c r="B8865">
        <v>43059</v>
      </c>
      <c r="C8865" t="s">
        <v>4661</v>
      </c>
      <c r="D8865" t="s">
        <v>6314</v>
      </c>
    </row>
    <row r="8866" spans="1:4">
      <c r="A8866" t="s">
        <v>14213</v>
      </c>
      <c r="B8866">
        <v>43621</v>
      </c>
      <c r="C8866" t="s">
        <v>14214</v>
      </c>
      <c r="D8866" t="s">
        <v>123</v>
      </c>
    </row>
    <row r="8867" spans="1:4">
      <c r="A8867" t="s">
        <v>14215</v>
      </c>
      <c r="B8867">
        <v>43627</v>
      </c>
      <c r="C8867" t="s">
        <v>14216</v>
      </c>
      <c r="D8867" t="s">
        <v>6168</v>
      </c>
    </row>
    <row r="8868" spans="1:4">
      <c r="A8868" t="s">
        <v>16898</v>
      </c>
      <c r="B8868">
        <v>43960</v>
      </c>
      <c r="C8868" t="s">
        <v>16899</v>
      </c>
      <c r="D8868" t="s">
        <v>6168</v>
      </c>
    </row>
    <row r="8869" spans="1:4">
      <c r="A8869" t="s">
        <v>14217</v>
      </c>
      <c r="B8869">
        <v>4044</v>
      </c>
      <c r="C8869" t="s">
        <v>14218</v>
      </c>
      <c r="D8869" t="s">
        <v>6241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14219</v>
      </c>
      <c r="B8871">
        <v>31359</v>
      </c>
      <c r="C8871" t="s">
        <v>13249</v>
      </c>
      <c r="D8871" t="s">
        <v>6168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14220</v>
      </c>
      <c r="B8873">
        <v>22575</v>
      </c>
      <c r="C8873" t="s">
        <v>565</v>
      </c>
      <c r="D8873" t="s">
        <v>6168</v>
      </c>
    </row>
    <row r="8874" spans="1:4">
      <c r="A8874" t="s">
        <v>14221</v>
      </c>
      <c r="B8874">
        <v>22576</v>
      </c>
      <c r="C8874" t="s">
        <v>567</v>
      </c>
      <c r="D8874" t="s">
        <v>6168</v>
      </c>
    </row>
    <row r="8875" spans="1:4">
      <c r="A8875" t="s">
        <v>14222</v>
      </c>
      <c r="B8875">
        <v>22577</v>
      </c>
      <c r="C8875" t="s">
        <v>567</v>
      </c>
      <c r="D8875" t="s">
        <v>6168</v>
      </c>
    </row>
    <row r="8876" spans="1:4">
      <c r="A8876" t="s">
        <v>14223</v>
      </c>
      <c r="B8876">
        <v>22578</v>
      </c>
      <c r="C8876" t="s">
        <v>781</v>
      </c>
      <c r="D8876" t="s">
        <v>6168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14224</v>
      </c>
      <c r="B8878">
        <v>23549</v>
      </c>
      <c r="C8878" t="s">
        <v>3014</v>
      </c>
      <c r="D8878" t="s">
        <v>6248</v>
      </c>
    </row>
    <row r="8879" spans="1:4">
      <c r="A8879" t="s">
        <v>14225</v>
      </c>
      <c r="B8879">
        <v>23884</v>
      </c>
      <c r="C8879" t="s">
        <v>14226</v>
      </c>
      <c r="D8879" t="s">
        <v>6168</v>
      </c>
    </row>
    <row r="8880" spans="1:4">
      <c r="A8880" t="s">
        <v>14227</v>
      </c>
      <c r="B8880">
        <v>23885</v>
      </c>
      <c r="C8880" t="s">
        <v>2981</v>
      </c>
      <c r="D8880" t="s">
        <v>6168</v>
      </c>
    </row>
    <row r="8881" spans="1:4">
      <c r="A8881" t="s">
        <v>14228</v>
      </c>
      <c r="B8881">
        <v>23886</v>
      </c>
      <c r="C8881" t="s">
        <v>2374</v>
      </c>
      <c r="D8881" t="s">
        <v>6168</v>
      </c>
    </row>
    <row r="8882" spans="1:4">
      <c r="A8882" t="s">
        <v>14229</v>
      </c>
      <c r="B8882">
        <v>23887</v>
      </c>
      <c r="C8882" t="s">
        <v>638</v>
      </c>
      <c r="D8882" t="s">
        <v>6168</v>
      </c>
    </row>
    <row r="8883" spans="1:4">
      <c r="A8883" t="s">
        <v>14230</v>
      </c>
      <c r="B8883">
        <v>25001</v>
      </c>
      <c r="C8883" t="s">
        <v>14231</v>
      </c>
      <c r="D8883" t="s">
        <v>6168</v>
      </c>
    </row>
    <row r="8884" spans="1:4">
      <c r="A8884" t="s">
        <v>14232</v>
      </c>
      <c r="B8884">
        <v>29176</v>
      </c>
      <c r="C8884" t="s">
        <v>13132</v>
      </c>
      <c r="D8884" t="s">
        <v>6168</v>
      </c>
    </row>
    <row r="8885" spans="1:4">
      <c r="A8885" t="s">
        <v>14233</v>
      </c>
      <c r="B8885">
        <v>26129</v>
      </c>
      <c r="C8885" t="s">
        <v>1381</v>
      </c>
      <c r="D8885" t="s">
        <v>6168</v>
      </c>
    </row>
    <row r="8886" spans="1:4">
      <c r="A8886" t="s">
        <v>14234</v>
      </c>
      <c r="B8886">
        <v>29246</v>
      </c>
      <c r="C8886" t="s">
        <v>14235</v>
      </c>
      <c r="D8886" t="s">
        <v>6168</v>
      </c>
    </row>
    <row r="8887" spans="1:4">
      <c r="A8887" t="s">
        <v>14236</v>
      </c>
      <c r="B8887">
        <v>35420</v>
      </c>
      <c r="C8887" t="s">
        <v>14226</v>
      </c>
      <c r="D8887" t="s">
        <v>6168</v>
      </c>
    </row>
    <row r="8888" spans="1:4">
      <c r="A8888" t="s">
        <v>14237</v>
      </c>
      <c r="B8888">
        <v>23002</v>
      </c>
      <c r="C8888" t="s">
        <v>14238</v>
      </c>
      <c r="D8888" t="s">
        <v>6168</v>
      </c>
    </row>
    <row r="8889" spans="1:4">
      <c r="A8889" t="s">
        <v>14239</v>
      </c>
      <c r="B8889">
        <v>23003</v>
      </c>
      <c r="C8889" t="s">
        <v>1369</v>
      </c>
      <c r="D8889" t="s">
        <v>6168</v>
      </c>
    </row>
    <row r="8890" spans="1:4">
      <c r="A8890" t="s">
        <v>14240</v>
      </c>
      <c r="B8890">
        <v>31384</v>
      </c>
      <c r="C8890" t="s">
        <v>12480</v>
      </c>
      <c r="D8890" t="s">
        <v>6168</v>
      </c>
    </row>
    <row r="8891" spans="1:4">
      <c r="A8891" t="s">
        <v>14241</v>
      </c>
      <c r="B8891">
        <v>23004</v>
      </c>
      <c r="C8891" t="s">
        <v>1071</v>
      </c>
      <c r="D8891" t="s">
        <v>6168</v>
      </c>
    </row>
    <row r="8892" spans="1:4">
      <c r="A8892" t="s">
        <v>14242</v>
      </c>
      <c r="B8892">
        <v>31386</v>
      </c>
      <c r="C8892" t="s">
        <v>14243</v>
      </c>
      <c r="D8892" t="s">
        <v>6168</v>
      </c>
    </row>
    <row r="8893" spans="1:4">
      <c r="A8893" t="s">
        <v>14244</v>
      </c>
      <c r="B8893">
        <v>31449</v>
      </c>
      <c r="C8893" t="s">
        <v>10463</v>
      </c>
      <c r="D8893" t="s">
        <v>6168</v>
      </c>
    </row>
    <row r="8894" spans="1:4">
      <c r="A8894" t="s">
        <v>14245</v>
      </c>
      <c r="B8894">
        <v>23005</v>
      </c>
      <c r="C8894" t="s">
        <v>3113</v>
      </c>
      <c r="D8894" t="s">
        <v>6168</v>
      </c>
    </row>
    <row r="8895" spans="1:4">
      <c r="A8895" t="s">
        <v>14246</v>
      </c>
      <c r="B8895">
        <v>24818</v>
      </c>
      <c r="C8895" t="s">
        <v>12354</v>
      </c>
      <c r="D8895" t="s">
        <v>6168</v>
      </c>
    </row>
    <row r="8896" spans="1:4">
      <c r="A8896" t="s">
        <v>14247</v>
      </c>
      <c r="B8896">
        <v>31379</v>
      </c>
      <c r="C8896" t="s">
        <v>3862</v>
      </c>
      <c r="D8896" t="s">
        <v>6168</v>
      </c>
    </row>
    <row r="8897" spans="1:4">
      <c r="A8897" t="s">
        <v>14248</v>
      </c>
      <c r="B8897">
        <v>31355</v>
      </c>
      <c r="C8897" t="s">
        <v>14249</v>
      </c>
      <c r="D8897" t="s">
        <v>6168</v>
      </c>
    </row>
    <row r="8898" spans="1:4">
      <c r="A8898" t="s">
        <v>17330</v>
      </c>
      <c r="B8898">
        <v>45413</v>
      </c>
      <c r="C8898" t="s">
        <v>3203</v>
      </c>
      <c r="D8898" t="s">
        <v>6168</v>
      </c>
    </row>
    <row r="8899" spans="1:4">
      <c r="A8899" t="s">
        <v>14250</v>
      </c>
      <c r="B8899">
        <v>40459</v>
      </c>
      <c r="C8899" t="s">
        <v>3203</v>
      </c>
      <c r="D8899" t="s">
        <v>6168</v>
      </c>
    </row>
    <row r="8900" spans="1:4">
      <c r="A8900" t="s">
        <v>14251</v>
      </c>
      <c r="B8900">
        <v>23242</v>
      </c>
      <c r="D8900" t="s">
        <v>6245</v>
      </c>
    </row>
    <row r="8901" spans="1:4">
      <c r="A8901" t="s">
        <v>14252</v>
      </c>
      <c r="B8901">
        <v>23888</v>
      </c>
      <c r="D8901" t="s">
        <v>6230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14253</v>
      </c>
      <c r="B8903">
        <v>23889</v>
      </c>
      <c r="D8903" t="s">
        <v>6230</v>
      </c>
    </row>
    <row r="8904" spans="1:4">
      <c r="A8904" t="s">
        <v>14254</v>
      </c>
      <c r="B8904">
        <v>34073</v>
      </c>
      <c r="C8904" t="s">
        <v>3862</v>
      </c>
      <c r="D8904" t="s">
        <v>6267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14255</v>
      </c>
      <c r="B8907">
        <v>22580</v>
      </c>
      <c r="C8907" t="s">
        <v>781</v>
      </c>
      <c r="D8907" t="s">
        <v>6168</v>
      </c>
    </row>
    <row r="8908" spans="1:4">
      <c r="A8908" t="s">
        <v>14256</v>
      </c>
      <c r="B8908">
        <v>22581</v>
      </c>
      <c r="C8908" t="s">
        <v>567</v>
      </c>
      <c r="D8908" t="s">
        <v>6168</v>
      </c>
    </row>
    <row r="8909" spans="1:4">
      <c r="A8909" t="s">
        <v>14257</v>
      </c>
      <c r="B8909">
        <v>22582</v>
      </c>
      <c r="C8909" t="s">
        <v>829</v>
      </c>
      <c r="D8909" t="s">
        <v>6168</v>
      </c>
    </row>
    <row r="8910" spans="1:4">
      <c r="A8910" t="s">
        <v>14258</v>
      </c>
      <c r="B8910">
        <v>22583</v>
      </c>
      <c r="C8910" t="s">
        <v>14259</v>
      </c>
      <c r="D8910" t="s">
        <v>6168</v>
      </c>
    </row>
    <row r="8911" spans="1:4">
      <c r="A8911" t="s">
        <v>14260</v>
      </c>
      <c r="B8911">
        <v>22584</v>
      </c>
      <c r="C8911" t="s">
        <v>829</v>
      </c>
      <c r="D8911" t="s">
        <v>6168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14261</v>
      </c>
      <c r="B8913">
        <v>42214</v>
      </c>
      <c r="C8913" t="s">
        <v>2738</v>
      </c>
      <c r="D8913" t="s">
        <v>6168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14262</v>
      </c>
      <c r="B8916">
        <v>22585</v>
      </c>
      <c r="C8916" t="s">
        <v>6558</v>
      </c>
      <c r="D8916" t="s">
        <v>6168</v>
      </c>
    </row>
    <row r="8917" spans="1:4">
      <c r="A8917" t="s">
        <v>14263</v>
      </c>
      <c r="B8917">
        <v>4125</v>
      </c>
      <c r="C8917" t="s">
        <v>4950</v>
      </c>
      <c r="D8917" t="s">
        <v>6168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14264</v>
      </c>
      <c r="D8920" t="s">
        <v>6248</v>
      </c>
    </row>
    <row r="8921" spans="1:4">
      <c r="A8921" t="s">
        <v>14265</v>
      </c>
      <c r="B8921">
        <v>30751</v>
      </c>
      <c r="C8921" t="s">
        <v>14266</v>
      </c>
      <c r="D8921" t="s">
        <v>6168</v>
      </c>
    </row>
    <row r="8922" spans="1:4">
      <c r="A8922" t="s">
        <v>14267</v>
      </c>
      <c r="B8922">
        <v>3084</v>
      </c>
      <c r="C8922" t="s">
        <v>14268</v>
      </c>
      <c r="D8922" t="s">
        <v>6243</v>
      </c>
    </row>
    <row r="8923" spans="1:4">
      <c r="A8923" t="s">
        <v>16900</v>
      </c>
      <c r="B8923">
        <v>43961</v>
      </c>
      <c r="C8923" t="s">
        <v>16901</v>
      </c>
      <c r="D8923" t="s">
        <v>123</v>
      </c>
    </row>
    <row r="8924" spans="1:4">
      <c r="A8924" t="s">
        <v>16965</v>
      </c>
      <c r="B8924">
        <v>44029</v>
      </c>
      <c r="C8924" t="s">
        <v>6694</v>
      </c>
      <c r="D8924" t="s">
        <v>6168</v>
      </c>
    </row>
    <row r="8925" spans="1:4">
      <c r="A8925" t="s">
        <v>14269</v>
      </c>
      <c r="B8925">
        <v>43533</v>
      </c>
      <c r="C8925" t="s">
        <v>14270</v>
      </c>
      <c r="D8925" t="s">
        <v>6267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14271</v>
      </c>
      <c r="B8927">
        <v>23890</v>
      </c>
      <c r="C8927" t="s">
        <v>7430</v>
      </c>
      <c r="D8927" t="s">
        <v>6168</v>
      </c>
    </row>
    <row r="8928" spans="1:4">
      <c r="A8928" t="s">
        <v>14272</v>
      </c>
      <c r="B8928">
        <v>31295</v>
      </c>
      <c r="C8928" t="s">
        <v>14273</v>
      </c>
      <c r="D8928" t="s">
        <v>6449</v>
      </c>
    </row>
    <row r="8929" spans="1:4">
      <c r="A8929" t="s">
        <v>14274</v>
      </c>
      <c r="B8929">
        <v>23891</v>
      </c>
      <c r="C8929" t="s">
        <v>13564</v>
      </c>
      <c r="D8929" t="s">
        <v>6168</v>
      </c>
    </row>
    <row r="8930" spans="1:4">
      <c r="A8930" t="s">
        <v>14275</v>
      </c>
      <c r="B8930">
        <v>31054</v>
      </c>
      <c r="C8930" t="s">
        <v>14276</v>
      </c>
      <c r="D8930" t="s">
        <v>6168</v>
      </c>
    </row>
    <row r="8931" spans="1:4">
      <c r="A8931" t="s">
        <v>14277</v>
      </c>
      <c r="B8931">
        <v>3032</v>
      </c>
      <c r="C8931" t="s">
        <v>14278</v>
      </c>
      <c r="D8931" t="s">
        <v>6168</v>
      </c>
    </row>
    <row r="8932" spans="1:4">
      <c r="A8932" t="s">
        <v>14279</v>
      </c>
      <c r="B8932">
        <v>3033</v>
      </c>
      <c r="C8932" t="s">
        <v>6417</v>
      </c>
      <c r="D8932" t="s">
        <v>6168</v>
      </c>
    </row>
    <row r="8933" spans="1:4">
      <c r="A8933" t="s">
        <v>14280</v>
      </c>
      <c r="B8933">
        <v>3150</v>
      </c>
      <c r="C8933" t="s">
        <v>14281</v>
      </c>
      <c r="D8933" t="s">
        <v>6168</v>
      </c>
    </row>
    <row r="8934" spans="1:4">
      <c r="A8934" t="s">
        <v>14282</v>
      </c>
      <c r="B8934">
        <v>997</v>
      </c>
      <c r="C8934" t="s">
        <v>4126</v>
      </c>
      <c r="D8934" t="s">
        <v>6305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14283</v>
      </c>
      <c r="B8937">
        <v>4516</v>
      </c>
      <c r="C8937" t="s">
        <v>4950</v>
      </c>
      <c r="D8937" t="s">
        <v>6168</v>
      </c>
    </row>
    <row r="8938" spans="1:4">
      <c r="A8938" t="s">
        <v>14284</v>
      </c>
      <c r="B8938">
        <v>30816</v>
      </c>
      <c r="C8938" t="s">
        <v>4950</v>
      </c>
      <c r="D8938" t="s">
        <v>6168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14285</v>
      </c>
      <c r="B8941">
        <v>19291</v>
      </c>
      <c r="C8941" t="s">
        <v>7412</v>
      </c>
      <c r="D8941" t="s">
        <v>6168</v>
      </c>
    </row>
    <row r="8942" spans="1:4">
      <c r="A8942" t="s">
        <v>14286</v>
      </c>
      <c r="B8942">
        <v>30149</v>
      </c>
      <c r="C8942" t="s">
        <v>384</v>
      </c>
      <c r="D8942" t="s">
        <v>6168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14287</v>
      </c>
      <c r="B8944">
        <v>23550</v>
      </c>
      <c r="C8944" t="s">
        <v>14288</v>
      </c>
      <c r="D8944" t="s">
        <v>6292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14289</v>
      </c>
      <c r="B8946">
        <v>41604</v>
      </c>
      <c r="C8946" t="s">
        <v>14290</v>
      </c>
      <c r="D8946" t="s">
        <v>6168</v>
      </c>
    </row>
    <row r="8947" spans="1:4">
      <c r="A8947" t="s">
        <v>14291</v>
      </c>
      <c r="B8947">
        <v>24821</v>
      </c>
      <c r="C8947" t="s">
        <v>14292</v>
      </c>
      <c r="D8947" t="s">
        <v>6230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14293</v>
      </c>
      <c r="B8952">
        <v>3011</v>
      </c>
      <c r="C8952" t="s">
        <v>7377</v>
      </c>
      <c r="D8952" t="s">
        <v>6168</v>
      </c>
    </row>
    <row r="8953" spans="1:4">
      <c r="A8953" t="s">
        <v>14294</v>
      </c>
      <c r="B8953">
        <v>35570</v>
      </c>
      <c r="C8953" t="s">
        <v>14295</v>
      </c>
      <c r="D8953" t="s">
        <v>134</v>
      </c>
    </row>
    <row r="8954" spans="1:4">
      <c r="A8954" t="s">
        <v>14296</v>
      </c>
      <c r="B8954">
        <v>30424</v>
      </c>
      <c r="C8954" t="s">
        <v>14295</v>
      </c>
      <c r="D8954" t="s">
        <v>6267</v>
      </c>
    </row>
    <row r="8955" spans="1:4">
      <c r="A8955" t="s">
        <v>2730</v>
      </c>
      <c r="B8955">
        <v>24822</v>
      </c>
      <c r="C8955" t="s">
        <v>14297</v>
      </c>
      <c r="D8955" t="s">
        <v>123</v>
      </c>
    </row>
    <row r="8956" spans="1:4">
      <c r="A8956" t="s">
        <v>14298</v>
      </c>
      <c r="B8956">
        <v>25216</v>
      </c>
      <c r="C8956" t="s">
        <v>14297</v>
      </c>
      <c r="D8956" t="s">
        <v>6168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14299</v>
      </c>
      <c r="B8959">
        <v>38334</v>
      </c>
      <c r="D8959" t="s">
        <v>6305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14300</v>
      </c>
      <c r="B8961">
        <v>29225</v>
      </c>
      <c r="C8961" t="s">
        <v>12143</v>
      </c>
      <c r="D8961" t="s">
        <v>6168</v>
      </c>
    </row>
    <row r="8962" spans="1:4">
      <c r="A8962" t="s">
        <v>14301</v>
      </c>
      <c r="B8962">
        <v>25217</v>
      </c>
      <c r="C8962" t="s">
        <v>14302</v>
      </c>
      <c r="D8962" t="s">
        <v>6168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14303</v>
      </c>
      <c r="B8964">
        <v>39605</v>
      </c>
      <c r="C8964" t="s">
        <v>630</v>
      </c>
      <c r="D8964" t="s">
        <v>6267</v>
      </c>
    </row>
    <row r="8965" spans="1:4">
      <c r="A8965" t="s">
        <v>14304</v>
      </c>
      <c r="B8965">
        <v>39593</v>
      </c>
      <c r="C8965" t="s">
        <v>630</v>
      </c>
      <c r="D8965" t="s">
        <v>6314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14305</v>
      </c>
      <c r="B8967">
        <v>4032</v>
      </c>
      <c r="C8967" t="s">
        <v>6533</v>
      </c>
      <c r="D8967" t="s">
        <v>6168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14306</v>
      </c>
      <c r="B8969">
        <v>38278</v>
      </c>
      <c r="C8969" t="s">
        <v>14307</v>
      </c>
      <c r="D8969" t="s">
        <v>6449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16902</v>
      </c>
      <c r="B8971">
        <v>43962</v>
      </c>
      <c r="C8971" t="s">
        <v>7029</v>
      </c>
      <c r="D8971" t="s">
        <v>6168</v>
      </c>
    </row>
    <row r="8972" spans="1:4">
      <c r="A8972" t="s">
        <v>14308</v>
      </c>
      <c r="B8972">
        <v>29499</v>
      </c>
      <c r="C8972" t="s">
        <v>1273</v>
      </c>
      <c r="D8972" t="s">
        <v>6168</v>
      </c>
    </row>
    <row r="8973" spans="1:4">
      <c r="A8973" t="s">
        <v>14309</v>
      </c>
      <c r="B8973">
        <v>38259</v>
      </c>
      <c r="C8973" t="s">
        <v>1273</v>
      </c>
      <c r="D8973" t="s">
        <v>6168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14310</v>
      </c>
      <c r="B8975">
        <v>22587</v>
      </c>
      <c r="D8975" t="s">
        <v>6314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14311</v>
      </c>
      <c r="B8977">
        <v>4009</v>
      </c>
      <c r="C8977" t="s">
        <v>14312</v>
      </c>
      <c r="D8977" t="s">
        <v>6168</v>
      </c>
    </row>
    <row r="8978" spans="1:4">
      <c r="A8978" t="s">
        <v>14313</v>
      </c>
      <c r="B8978">
        <v>4010</v>
      </c>
      <c r="C8978" t="s">
        <v>6219</v>
      </c>
      <c r="D8978" t="s">
        <v>6168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14314</v>
      </c>
      <c r="B8980">
        <v>34075</v>
      </c>
      <c r="C8980" t="s">
        <v>2208</v>
      </c>
      <c r="D8980" t="s">
        <v>6267</v>
      </c>
    </row>
    <row r="8981" spans="1:4">
      <c r="A8981" t="s">
        <v>14315</v>
      </c>
      <c r="B8981">
        <v>24824</v>
      </c>
      <c r="C8981" t="s">
        <v>3998</v>
      </c>
      <c r="D8981" t="s">
        <v>6314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14316</v>
      </c>
      <c r="B8983">
        <v>35733</v>
      </c>
      <c r="C8983" t="s">
        <v>14317</v>
      </c>
      <c r="D8983" t="s">
        <v>6168</v>
      </c>
    </row>
    <row r="8984" spans="1:4">
      <c r="A8984" t="s">
        <v>14318</v>
      </c>
      <c r="B8984">
        <v>35634</v>
      </c>
      <c r="C8984" t="s">
        <v>6985</v>
      </c>
      <c r="D8984" t="s">
        <v>6168</v>
      </c>
    </row>
    <row r="8985" spans="1:4">
      <c r="A8985" t="s">
        <v>14319</v>
      </c>
      <c r="B8985">
        <v>29396</v>
      </c>
      <c r="C8985" t="s">
        <v>14320</v>
      </c>
      <c r="D8985" t="s">
        <v>6168</v>
      </c>
    </row>
    <row r="8986" spans="1:4">
      <c r="A8986" t="s">
        <v>14321</v>
      </c>
      <c r="B8986">
        <v>29247</v>
      </c>
      <c r="C8986" t="s">
        <v>14322</v>
      </c>
      <c r="D8986" t="s">
        <v>6168</v>
      </c>
    </row>
    <row r="8987" spans="1:4">
      <c r="A8987" t="s">
        <v>14323</v>
      </c>
      <c r="B8987">
        <v>31439</v>
      </c>
      <c r="C8987" t="s">
        <v>14324</v>
      </c>
      <c r="D8987" t="s">
        <v>6168</v>
      </c>
    </row>
    <row r="8988" spans="1:4">
      <c r="A8988" t="s">
        <v>14325</v>
      </c>
      <c r="B8988">
        <v>30415</v>
      </c>
      <c r="C8988" t="s">
        <v>13304</v>
      </c>
      <c r="D8988" t="s">
        <v>6168</v>
      </c>
    </row>
    <row r="8989" spans="1:4">
      <c r="A8989" t="s">
        <v>14326</v>
      </c>
      <c r="B8989">
        <v>35659</v>
      </c>
      <c r="C8989" t="s">
        <v>14327</v>
      </c>
      <c r="D8989" t="s">
        <v>6168</v>
      </c>
    </row>
    <row r="8990" spans="1:4">
      <c r="A8990" t="s">
        <v>14328</v>
      </c>
      <c r="B8990">
        <v>35633</v>
      </c>
      <c r="C8990" t="s">
        <v>1307</v>
      </c>
      <c r="D8990" t="s">
        <v>6168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14329</v>
      </c>
      <c r="B8992">
        <v>30693</v>
      </c>
      <c r="C8992" t="s">
        <v>6724</v>
      </c>
      <c r="D8992" t="s">
        <v>6168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14330</v>
      </c>
      <c r="B8994">
        <v>4012</v>
      </c>
      <c r="C8994" t="s">
        <v>6190</v>
      </c>
      <c r="D8994" t="s">
        <v>6168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17474</v>
      </c>
      <c r="B8997">
        <v>45762</v>
      </c>
      <c r="C8997" t="s">
        <v>1071</v>
      </c>
      <c r="D8997" t="s">
        <v>6168</v>
      </c>
    </row>
    <row r="8998" spans="1:4">
      <c r="A8998" t="s">
        <v>14331</v>
      </c>
      <c r="B8998">
        <v>24825</v>
      </c>
      <c r="C8998" t="s">
        <v>7430</v>
      </c>
      <c r="D8998" t="s">
        <v>6168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14332</v>
      </c>
      <c r="B9000">
        <v>30483</v>
      </c>
      <c r="C9000" t="s">
        <v>14333</v>
      </c>
      <c r="D9000" t="s">
        <v>6168</v>
      </c>
    </row>
    <row r="9001" spans="1:4">
      <c r="A9001" t="s">
        <v>14334</v>
      </c>
      <c r="B9001">
        <v>30489</v>
      </c>
      <c r="C9001" t="s">
        <v>6914</v>
      </c>
      <c r="D9001" t="s">
        <v>6168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14335</v>
      </c>
      <c r="B9003">
        <v>22589</v>
      </c>
      <c r="C9003" t="s">
        <v>1273</v>
      </c>
      <c r="D9003" t="s">
        <v>6168</v>
      </c>
    </row>
    <row r="9004" spans="1:4">
      <c r="A9004" t="s">
        <v>14336</v>
      </c>
      <c r="B9004">
        <v>22590</v>
      </c>
      <c r="C9004" t="s">
        <v>14337</v>
      </c>
      <c r="D9004" t="s">
        <v>6267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14338</v>
      </c>
      <c r="B9006">
        <v>920</v>
      </c>
      <c r="C9006" t="s">
        <v>4950</v>
      </c>
      <c r="D9006" t="s">
        <v>6168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14339</v>
      </c>
      <c r="B9008">
        <v>41606</v>
      </c>
      <c r="C9008" t="s">
        <v>2383</v>
      </c>
      <c r="D9008" t="s">
        <v>6267</v>
      </c>
    </row>
    <row r="9009" spans="1:4">
      <c r="A9009" t="s">
        <v>14340</v>
      </c>
      <c r="B9009">
        <v>22591</v>
      </c>
      <c r="D9009" t="s">
        <v>6230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14341</v>
      </c>
      <c r="B9011">
        <v>3946</v>
      </c>
      <c r="C9011" t="s">
        <v>2374</v>
      </c>
      <c r="D9011" t="s">
        <v>6168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14342</v>
      </c>
      <c r="B9013">
        <v>3054</v>
      </c>
      <c r="C9013" t="s">
        <v>10518</v>
      </c>
      <c r="D9013" t="s">
        <v>6168</v>
      </c>
    </row>
    <row r="9014" spans="1:4">
      <c r="A9014" t="s">
        <v>14343</v>
      </c>
      <c r="B9014">
        <v>3055</v>
      </c>
      <c r="C9014" t="s">
        <v>7336</v>
      </c>
      <c r="D9014" t="s">
        <v>6168</v>
      </c>
    </row>
    <row r="9015" spans="1:4">
      <c r="A9015" t="s">
        <v>14344</v>
      </c>
      <c r="B9015">
        <v>29846</v>
      </c>
      <c r="D9015" t="s">
        <v>10633</v>
      </c>
    </row>
    <row r="9016" spans="1:4">
      <c r="A9016" t="s">
        <v>14345</v>
      </c>
      <c r="B9016">
        <v>3066</v>
      </c>
      <c r="C9016" t="s">
        <v>14346</v>
      </c>
      <c r="D9016" t="s">
        <v>6168</v>
      </c>
    </row>
    <row r="9017" spans="1:4">
      <c r="A9017" t="s">
        <v>14347</v>
      </c>
      <c r="B9017">
        <v>3056</v>
      </c>
      <c r="C9017" t="s">
        <v>7630</v>
      </c>
      <c r="D9017" t="s">
        <v>6168</v>
      </c>
    </row>
    <row r="9018" spans="1:4">
      <c r="A9018" t="s">
        <v>14348</v>
      </c>
      <c r="B9018">
        <v>3057</v>
      </c>
      <c r="C9018" t="s">
        <v>14349</v>
      </c>
      <c r="D9018" t="s">
        <v>6168</v>
      </c>
    </row>
    <row r="9019" spans="1:4">
      <c r="A9019" t="s">
        <v>14350</v>
      </c>
      <c r="B9019">
        <v>3058</v>
      </c>
      <c r="D9019" t="s">
        <v>6168</v>
      </c>
    </row>
    <row r="9020" spans="1:4">
      <c r="A9020" t="s">
        <v>14351</v>
      </c>
      <c r="B9020">
        <v>3059</v>
      </c>
      <c r="C9020" t="s">
        <v>14352</v>
      </c>
      <c r="D9020" t="s">
        <v>6168</v>
      </c>
    </row>
    <row r="9021" spans="1:4">
      <c r="A9021" t="s">
        <v>14353</v>
      </c>
      <c r="B9021">
        <v>3067</v>
      </c>
      <c r="C9021" t="s">
        <v>14354</v>
      </c>
      <c r="D9021" t="s">
        <v>6168</v>
      </c>
    </row>
    <row r="9022" spans="1:4">
      <c r="A9022" t="s">
        <v>14355</v>
      </c>
      <c r="B9022">
        <v>3060</v>
      </c>
      <c r="C9022" t="s">
        <v>14356</v>
      </c>
      <c r="D9022" t="s">
        <v>6168</v>
      </c>
    </row>
    <row r="9023" spans="1:4">
      <c r="A9023" t="s">
        <v>14357</v>
      </c>
      <c r="B9023">
        <v>3061</v>
      </c>
      <c r="C9023" t="s">
        <v>6924</v>
      </c>
      <c r="D9023" t="s">
        <v>6168</v>
      </c>
    </row>
    <row r="9024" spans="1:4">
      <c r="A9024" t="s">
        <v>14358</v>
      </c>
      <c r="B9024">
        <v>3062</v>
      </c>
      <c r="C9024" t="s">
        <v>14359</v>
      </c>
      <c r="D9024" t="s">
        <v>6168</v>
      </c>
    </row>
    <row r="9025" spans="1:4">
      <c r="A9025" t="s">
        <v>14360</v>
      </c>
      <c r="B9025">
        <v>19288</v>
      </c>
      <c r="C9025" t="s">
        <v>14361</v>
      </c>
      <c r="D9025" t="s">
        <v>6168</v>
      </c>
    </row>
    <row r="9026" spans="1:4">
      <c r="A9026" t="s">
        <v>14362</v>
      </c>
      <c r="B9026">
        <v>3063</v>
      </c>
      <c r="C9026" t="s">
        <v>14356</v>
      </c>
      <c r="D9026" t="s">
        <v>6168</v>
      </c>
    </row>
    <row r="9027" spans="1:4">
      <c r="A9027" t="s">
        <v>14363</v>
      </c>
      <c r="B9027">
        <v>3064</v>
      </c>
      <c r="C9027" t="s">
        <v>14359</v>
      </c>
      <c r="D9027" t="s">
        <v>6168</v>
      </c>
    </row>
    <row r="9028" spans="1:4">
      <c r="A9028" t="s">
        <v>14364</v>
      </c>
      <c r="B9028">
        <v>3065</v>
      </c>
      <c r="D9028" t="s">
        <v>6168</v>
      </c>
    </row>
    <row r="9029" spans="1:4">
      <c r="A9029" t="s">
        <v>14365</v>
      </c>
      <c r="B9029">
        <v>3068</v>
      </c>
      <c r="C9029" t="s">
        <v>14366</v>
      </c>
      <c r="D9029" t="s">
        <v>6168</v>
      </c>
    </row>
    <row r="9030" spans="1:4">
      <c r="A9030" t="s">
        <v>14367</v>
      </c>
      <c r="B9030">
        <v>31485</v>
      </c>
      <c r="C9030" t="s">
        <v>3073</v>
      </c>
      <c r="D9030" t="s">
        <v>6267</v>
      </c>
    </row>
    <row r="9031" spans="1:4">
      <c r="A9031" t="s">
        <v>14368</v>
      </c>
      <c r="B9031">
        <v>24826</v>
      </c>
      <c r="D9031" t="s">
        <v>6314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14369</v>
      </c>
      <c r="B9033">
        <v>25424</v>
      </c>
      <c r="C9033" t="s">
        <v>3203</v>
      </c>
      <c r="D9033" t="s">
        <v>6168</v>
      </c>
    </row>
    <row r="9034" spans="1:4">
      <c r="A9034" t="s">
        <v>14370</v>
      </c>
      <c r="B9034">
        <v>25425</v>
      </c>
      <c r="C9034" t="s">
        <v>8104</v>
      </c>
      <c r="D9034" t="s">
        <v>6168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14371</v>
      </c>
      <c r="B9037">
        <v>43020</v>
      </c>
      <c r="C9037" t="s">
        <v>14372</v>
      </c>
      <c r="D9037" t="s">
        <v>6168</v>
      </c>
    </row>
    <row r="9038" spans="1:4">
      <c r="A9038" t="s">
        <v>14373</v>
      </c>
      <c r="B9038">
        <v>24827</v>
      </c>
      <c r="C9038" t="s">
        <v>14374</v>
      </c>
      <c r="D9038" t="s">
        <v>6168</v>
      </c>
    </row>
    <row r="9039" spans="1:4">
      <c r="A9039" t="s">
        <v>14375</v>
      </c>
      <c r="B9039">
        <v>37799</v>
      </c>
      <c r="C9039" t="s">
        <v>6724</v>
      </c>
      <c r="D9039" t="s">
        <v>6168</v>
      </c>
    </row>
    <row r="9040" spans="1:4">
      <c r="A9040" t="s">
        <v>14376</v>
      </c>
      <c r="B9040">
        <v>23894</v>
      </c>
      <c r="C9040" t="s">
        <v>6394</v>
      </c>
      <c r="D9040" t="s">
        <v>6168</v>
      </c>
    </row>
    <row r="9041" spans="1:4">
      <c r="A9041" t="s">
        <v>14377</v>
      </c>
      <c r="B9041">
        <v>30523</v>
      </c>
      <c r="C9041" t="s">
        <v>14378</v>
      </c>
      <c r="D9041" t="s">
        <v>6168</v>
      </c>
    </row>
    <row r="9042" spans="1:4">
      <c r="A9042" t="s">
        <v>14379</v>
      </c>
      <c r="B9042">
        <v>30524</v>
      </c>
      <c r="C9042" t="s">
        <v>7739</v>
      </c>
      <c r="D9042" t="s">
        <v>6168</v>
      </c>
    </row>
    <row r="9043" spans="1:4">
      <c r="A9043" t="s">
        <v>14380</v>
      </c>
      <c r="B9043">
        <v>35269</v>
      </c>
      <c r="C9043" t="s">
        <v>14381</v>
      </c>
      <c r="D9043" t="s">
        <v>6168</v>
      </c>
    </row>
    <row r="9044" spans="1:4">
      <c r="A9044" t="s">
        <v>14382</v>
      </c>
      <c r="B9044">
        <v>35270</v>
      </c>
      <c r="C9044" t="s">
        <v>14383</v>
      </c>
      <c r="D9044" t="s">
        <v>6168</v>
      </c>
    </row>
    <row r="9045" spans="1:4">
      <c r="A9045" t="s">
        <v>14384</v>
      </c>
      <c r="B9045">
        <v>43021</v>
      </c>
      <c r="C9045" t="s">
        <v>4246</v>
      </c>
      <c r="D9045" t="s">
        <v>6168</v>
      </c>
    </row>
    <row r="9046" spans="1:4">
      <c r="A9046" t="s">
        <v>14385</v>
      </c>
      <c r="B9046">
        <v>40458</v>
      </c>
      <c r="C9046" t="s">
        <v>14386</v>
      </c>
      <c r="D9046" t="s">
        <v>6168</v>
      </c>
    </row>
    <row r="9047" spans="1:4">
      <c r="A9047" t="s">
        <v>14387</v>
      </c>
      <c r="B9047">
        <v>30473</v>
      </c>
      <c r="C9047" t="s">
        <v>3203</v>
      </c>
      <c r="D9047" t="s">
        <v>6168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14388</v>
      </c>
      <c r="B9049">
        <v>35632</v>
      </c>
      <c r="C9049" t="s">
        <v>14389</v>
      </c>
      <c r="D9049" t="s">
        <v>6168</v>
      </c>
    </row>
    <row r="9050" spans="1:4">
      <c r="A9050" t="s">
        <v>16757</v>
      </c>
      <c r="B9050">
        <v>43329</v>
      </c>
      <c r="C9050" t="s">
        <v>16758</v>
      </c>
      <c r="D9050" t="s">
        <v>123</v>
      </c>
    </row>
    <row r="9051" spans="1:4">
      <c r="A9051" t="s">
        <v>16812</v>
      </c>
      <c r="B9051">
        <v>43362</v>
      </c>
      <c r="C9051" t="s">
        <v>16813</v>
      </c>
      <c r="D9051" t="s">
        <v>6168</v>
      </c>
    </row>
    <row r="9052" spans="1:4">
      <c r="A9052" t="s">
        <v>16755</v>
      </c>
      <c r="B9052">
        <v>43328</v>
      </c>
      <c r="C9052" t="s">
        <v>16756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14390</v>
      </c>
      <c r="B9054">
        <v>22593</v>
      </c>
      <c r="C9054" t="s">
        <v>14391</v>
      </c>
      <c r="D9054" t="s">
        <v>6168</v>
      </c>
    </row>
    <row r="9055" spans="1:4">
      <c r="A9055" t="s">
        <v>14392</v>
      </c>
      <c r="B9055">
        <v>22594</v>
      </c>
      <c r="C9055" t="s">
        <v>14393</v>
      </c>
      <c r="D9055" t="s">
        <v>6168</v>
      </c>
    </row>
    <row r="9056" spans="1:4">
      <c r="A9056" t="s">
        <v>14394</v>
      </c>
      <c r="B9056">
        <v>40457</v>
      </c>
      <c r="C9056" t="s">
        <v>6924</v>
      </c>
      <c r="D9056" t="s">
        <v>6168</v>
      </c>
    </row>
    <row r="9057" spans="1:4">
      <c r="A9057" t="s">
        <v>17331</v>
      </c>
      <c r="B9057">
        <v>45414</v>
      </c>
      <c r="C9057" t="s">
        <v>17332</v>
      </c>
      <c r="D9057" t="s">
        <v>6168</v>
      </c>
    </row>
    <row r="9058" spans="1:4">
      <c r="A9058" t="s">
        <v>14395</v>
      </c>
      <c r="B9058">
        <v>30459</v>
      </c>
      <c r="C9058" t="s">
        <v>7271</v>
      </c>
      <c r="D9058" t="s">
        <v>6168</v>
      </c>
    </row>
    <row r="9059" spans="1:4">
      <c r="A9059" t="s">
        <v>14396</v>
      </c>
      <c r="B9059">
        <v>22595</v>
      </c>
      <c r="C9059" t="s">
        <v>4296</v>
      </c>
      <c r="D9059" t="s">
        <v>6267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14397</v>
      </c>
      <c r="B9061">
        <v>38277</v>
      </c>
      <c r="C9061" t="s">
        <v>6558</v>
      </c>
      <c r="D9061" t="s">
        <v>6168</v>
      </c>
    </row>
    <row r="9062" spans="1:4">
      <c r="A9062" t="s">
        <v>14398</v>
      </c>
      <c r="B9062">
        <v>23272</v>
      </c>
      <c r="C9062" t="s">
        <v>14399</v>
      </c>
      <c r="D9062" t="s">
        <v>7283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14400</v>
      </c>
      <c r="B9065">
        <v>23895</v>
      </c>
      <c r="C9065" t="s">
        <v>7271</v>
      </c>
      <c r="D9065" t="s">
        <v>6168</v>
      </c>
    </row>
    <row r="9066" spans="1:4">
      <c r="A9066" t="s">
        <v>14401</v>
      </c>
      <c r="B9066">
        <v>39456</v>
      </c>
      <c r="D9066" t="s">
        <v>6230</v>
      </c>
    </row>
    <row r="9067" spans="1:4">
      <c r="A9067" t="s">
        <v>16966</v>
      </c>
      <c r="B9067">
        <v>44030</v>
      </c>
      <c r="C9067" t="s">
        <v>624</v>
      </c>
      <c r="D9067" t="s">
        <v>134</v>
      </c>
    </row>
    <row r="9068" spans="1:4">
      <c r="A9068" t="s">
        <v>16903</v>
      </c>
      <c r="B9068">
        <v>43963</v>
      </c>
      <c r="C9068" t="s">
        <v>624</v>
      </c>
      <c r="D9068" t="s">
        <v>6314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14402</v>
      </c>
      <c r="B9070">
        <v>36171</v>
      </c>
      <c r="C9070" t="s">
        <v>5474</v>
      </c>
      <c r="D9070" t="s">
        <v>6168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14403</v>
      </c>
      <c r="B9074">
        <v>1063</v>
      </c>
      <c r="C9074" t="s">
        <v>9020</v>
      </c>
      <c r="D9074" t="s">
        <v>6168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14404</v>
      </c>
      <c r="B9077">
        <v>43534</v>
      </c>
      <c r="C9077" t="s">
        <v>4950</v>
      </c>
      <c r="D9077" t="s">
        <v>6168</v>
      </c>
    </row>
    <row r="9078" spans="1:4">
      <c r="A9078" t="s">
        <v>14405</v>
      </c>
      <c r="B9078">
        <v>852</v>
      </c>
      <c r="D9078" t="s">
        <v>6245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14406</v>
      </c>
      <c r="B9080">
        <v>22597</v>
      </c>
      <c r="C9080" t="s">
        <v>14407</v>
      </c>
      <c r="D9080" t="s">
        <v>6168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14408</v>
      </c>
      <c r="B9082">
        <v>1023</v>
      </c>
      <c r="C9082" t="s">
        <v>4950</v>
      </c>
      <c r="D9082" t="s">
        <v>6168</v>
      </c>
    </row>
    <row r="9083" spans="1:4">
      <c r="A9083" t="s">
        <v>14409</v>
      </c>
      <c r="B9083">
        <v>31788</v>
      </c>
      <c r="C9083" t="s">
        <v>14410</v>
      </c>
      <c r="D9083" t="s">
        <v>6168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14411</v>
      </c>
      <c r="B9086">
        <v>3041</v>
      </c>
      <c r="C9086" t="s">
        <v>4865</v>
      </c>
      <c r="D9086" t="s">
        <v>6168</v>
      </c>
    </row>
    <row r="9087" spans="1:4">
      <c r="A9087" t="s">
        <v>14412</v>
      </c>
      <c r="B9087">
        <v>37513</v>
      </c>
      <c r="C9087" t="s">
        <v>1273</v>
      </c>
      <c r="D9087" t="s">
        <v>6168</v>
      </c>
    </row>
    <row r="9088" spans="1:4">
      <c r="A9088" t="s">
        <v>14413</v>
      </c>
      <c r="B9088">
        <v>3043</v>
      </c>
      <c r="C9088" t="s">
        <v>14414</v>
      </c>
      <c r="D9088" t="s">
        <v>6168</v>
      </c>
    </row>
    <row r="9089" spans="1:4">
      <c r="A9089" t="s">
        <v>14415</v>
      </c>
      <c r="B9089">
        <v>3042</v>
      </c>
      <c r="C9089" t="s">
        <v>4950</v>
      </c>
      <c r="D9089" t="s">
        <v>6168</v>
      </c>
    </row>
    <row r="9090" spans="1:4">
      <c r="A9090" t="s">
        <v>14416</v>
      </c>
      <c r="B9090">
        <v>22598</v>
      </c>
      <c r="C9090" t="s">
        <v>264</v>
      </c>
      <c r="D9090" t="s">
        <v>6314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14417</v>
      </c>
      <c r="B9092">
        <v>557</v>
      </c>
      <c r="C9092" t="s">
        <v>4950</v>
      </c>
      <c r="D9092" t="s">
        <v>6168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14418</v>
      </c>
      <c r="B9094">
        <v>26259</v>
      </c>
      <c r="D9094" t="s">
        <v>6872</v>
      </c>
    </row>
    <row r="9095" spans="1:4">
      <c r="A9095" t="s">
        <v>16904</v>
      </c>
      <c r="B9095">
        <v>43964</v>
      </c>
      <c r="C9095" t="s">
        <v>16905</v>
      </c>
      <c r="D9095" t="s">
        <v>6267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14419</v>
      </c>
      <c r="B9098">
        <v>2613</v>
      </c>
      <c r="C9098" t="s">
        <v>1887</v>
      </c>
      <c r="D9098" t="s">
        <v>6168</v>
      </c>
    </row>
    <row r="9099" spans="1:4">
      <c r="A9099" t="s">
        <v>14420</v>
      </c>
      <c r="B9099">
        <v>2614</v>
      </c>
      <c r="C9099" t="s">
        <v>432</v>
      </c>
      <c r="D9099" t="s">
        <v>6168</v>
      </c>
    </row>
    <row r="9100" spans="1:4">
      <c r="A9100" t="s">
        <v>14421</v>
      </c>
      <c r="B9100">
        <v>2615</v>
      </c>
      <c r="C9100" t="s">
        <v>8660</v>
      </c>
      <c r="D9100" t="s">
        <v>6168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14422</v>
      </c>
      <c r="B9102">
        <v>43535</v>
      </c>
      <c r="C9102" t="s">
        <v>14423</v>
      </c>
      <c r="D9102" t="s">
        <v>6168</v>
      </c>
    </row>
    <row r="9103" spans="1:4">
      <c r="A9103" t="s">
        <v>14424</v>
      </c>
      <c r="B9103">
        <v>36170</v>
      </c>
      <c r="C9103" t="s">
        <v>6601</v>
      </c>
      <c r="D9103" t="s">
        <v>6168</v>
      </c>
    </row>
    <row r="9104" spans="1:4">
      <c r="A9104" t="s">
        <v>14425</v>
      </c>
      <c r="B9104">
        <v>41238</v>
      </c>
      <c r="C9104" t="s">
        <v>6216</v>
      </c>
      <c r="D9104" t="s">
        <v>6168</v>
      </c>
    </row>
    <row r="9105" spans="1:4">
      <c r="A9105" t="s">
        <v>14426</v>
      </c>
      <c r="B9105">
        <v>36169</v>
      </c>
      <c r="C9105" t="s">
        <v>10424</v>
      </c>
      <c r="D9105" t="s">
        <v>6168</v>
      </c>
    </row>
    <row r="9106" spans="1:4">
      <c r="A9106" t="s">
        <v>14427</v>
      </c>
      <c r="B9106">
        <v>41239</v>
      </c>
      <c r="C9106" t="s">
        <v>12735</v>
      </c>
      <c r="D9106" t="s">
        <v>6168</v>
      </c>
    </row>
    <row r="9107" spans="1:4">
      <c r="A9107" t="s">
        <v>14428</v>
      </c>
      <c r="B9107">
        <v>3325</v>
      </c>
      <c r="C9107" t="s">
        <v>14429</v>
      </c>
      <c r="D9107" t="s">
        <v>6872</v>
      </c>
    </row>
    <row r="9108" spans="1:4">
      <c r="A9108" t="s">
        <v>16733</v>
      </c>
      <c r="B9108">
        <v>43313</v>
      </c>
      <c r="C9108" t="s">
        <v>16734</v>
      </c>
      <c r="D9108" t="s">
        <v>123</v>
      </c>
    </row>
    <row r="9109" spans="1:4">
      <c r="A9109" t="s">
        <v>16781</v>
      </c>
      <c r="B9109">
        <v>43343</v>
      </c>
      <c r="C9109" t="s">
        <v>16777</v>
      </c>
      <c r="D9109" t="s">
        <v>6168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14430</v>
      </c>
      <c r="B9111">
        <v>22600</v>
      </c>
      <c r="C9111" t="s">
        <v>14431</v>
      </c>
      <c r="D9111" t="s">
        <v>6168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14432</v>
      </c>
      <c r="B9113">
        <v>41240</v>
      </c>
      <c r="C9113" t="s">
        <v>6491</v>
      </c>
      <c r="D9113" t="s">
        <v>6168</v>
      </c>
    </row>
    <row r="9114" spans="1:4">
      <c r="A9114" t="s">
        <v>14433</v>
      </c>
      <c r="B9114">
        <v>31293</v>
      </c>
      <c r="C9114" t="s">
        <v>2898</v>
      </c>
      <c r="D9114" t="s">
        <v>6168</v>
      </c>
    </row>
    <row r="9115" spans="1:4">
      <c r="A9115" t="s">
        <v>14434</v>
      </c>
      <c r="B9115">
        <v>24266</v>
      </c>
      <c r="C9115" t="s">
        <v>12356</v>
      </c>
      <c r="D9115" t="s">
        <v>6168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14435</v>
      </c>
      <c r="B9119">
        <v>2726</v>
      </c>
      <c r="C9119" t="s">
        <v>14436</v>
      </c>
      <c r="D9119" t="s">
        <v>6168</v>
      </c>
    </row>
    <row r="9120" spans="1:4">
      <c r="A9120" t="s">
        <v>14437</v>
      </c>
      <c r="B9120">
        <v>1</v>
      </c>
      <c r="C9120" t="s">
        <v>1903</v>
      </c>
      <c r="D9120" t="s">
        <v>6245</v>
      </c>
    </row>
    <row r="9121" spans="1:4">
      <c r="A9121" t="s">
        <v>14438</v>
      </c>
      <c r="B9121">
        <v>22602</v>
      </c>
      <c r="D9121" t="s">
        <v>6243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14439</v>
      </c>
      <c r="B9123">
        <v>2312</v>
      </c>
      <c r="C9123" t="s">
        <v>944</v>
      </c>
      <c r="D9123" t="s">
        <v>6168</v>
      </c>
    </row>
    <row r="9124" spans="1:4">
      <c r="A9124" t="s">
        <v>14440</v>
      </c>
      <c r="B9124">
        <v>229</v>
      </c>
      <c r="C9124" t="s">
        <v>6760</v>
      </c>
      <c r="D9124" t="s">
        <v>6168</v>
      </c>
    </row>
    <row r="9125" spans="1:4">
      <c r="A9125" t="s">
        <v>14441</v>
      </c>
      <c r="B9125">
        <v>230</v>
      </c>
      <c r="C9125" t="s">
        <v>944</v>
      </c>
      <c r="D9125" t="s">
        <v>6168</v>
      </c>
    </row>
    <row r="9126" spans="1:4">
      <c r="A9126" t="s">
        <v>14442</v>
      </c>
      <c r="B9126">
        <v>2313</v>
      </c>
      <c r="C9126" t="s">
        <v>12113</v>
      </c>
      <c r="D9126" t="s">
        <v>6449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16934</v>
      </c>
      <c r="B9128">
        <v>44047</v>
      </c>
      <c r="D9128" t="s">
        <v>6168</v>
      </c>
    </row>
    <row r="9129" spans="1:4">
      <c r="A9129" t="s">
        <v>16754</v>
      </c>
      <c r="B9129">
        <v>43327</v>
      </c>
      <c r="D9129" t="s">
        <v>6292</v>
      </c>
    </row>
    <row r="9130" spans="1:4">
      <c r="A9130" t="s">
        <v>14443</v>
      </c>
      <c r="B9130">
        <v>3827</v>
      </c>
      <c r="C9130" t="s">
        <v>14444</v>
      </c>
      <c r="D9130" t="s">
        <v>6230</v>
      </c>
    </row>
    <row r="9131" spans="1:4">
      <c r="A9131" t="s">
        <v>14445</v>
      </c>
      <c r="B9131">
        <v>23191</v>
      </c>
      <c r="C9131" t="s">
        <v>1511</v>
      </c>
      <c r="D9131" t="s">
        <v>6314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14446</v>
      </c>
      <c r="B9133">
        <v>41702</v>
      </c>
      <c r="C9133" t="s">
        <v>14447</v>
      </c>
      <c r="D9133" t="s">
        <v>6168</v>
      </c>
    </row>
    <row r="9134" spans="1:4">
      <c r="A9134" t="s">
        <v>14448</v>
      </c>
      <c r="B9134">
        <v>41703</v>
      </c>
      <c r="C9134" t="s">
        <v>11977</v>
      </c>
      <c r="D9134" t="s">
        <v>6168</v>
      </c>
    </row>
    <row r="9135" spans="1:4">
      <c r="A9135" t="s">
        <v>14449</v>
      </c>
      <c r="B9135">
        <v>41704</v>
      </c>
      <c r="C9135" t="s">
        <v>6214</v>
      </c>
      <c r="D9135" t="s">
        <v>6168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14450</v>
      </c>
      <c r="B9137">
        <v>42215</v>
      </c>
      <c r="C9137" t="s">
        <v>6330</v>
      </c>
      <c r="D9137" t="s">
        <v>6168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14451</v>
      </c>
      <c r="B9139">
        <v>42216</v>
      </c>
      <c r="C9139" t="s">
        <v>14452</v>
      </c>
      <c r="D9139" t="s">
        <v>6168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14453</v>
      </c>
      <c r="B9141">
        <v>4175</v>
      </c>
      <c r="C9141" t="s">
        <v>6394</v>
      </c>
      <c r="D9141" t="s">
        <v>6168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14454</v>
      </c>
      <c r="B9144">
        <v>39784</v>
      </c>
      <c r="C9144" t="s">
        <v>1206</v>
      </c>
      <c r="D9144" t="s">
        <v>6314</v>
      </c>
    </row>
    <row r="9145" spans="1:4">
      <c r="A9145" t="s">
        <v>14455</v>
      </c>
      <c r="B9145">
        <v>31813</v>
      </c>
      <c r="D9145" t="s">
        <v>6245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14456</v>
      </c>
      <c r="B9147">
        <v>29185</v>
      </c>
      <c r="C9147" t="s">
        <v>10111</v>
      </c>
      <c r="D9147" t="s">
        <v>6168</v>
      </c>
    </row>
    <row r="9148" spans="1:4">
      <c r="A9148" t="s">
        <v>14457</v>
      </c>
      <c r="B9148">
        <v>43536</v>
      </c>
      <c r="C9148" t="s">
        <v>14458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14459</v>
      </c>
      <c r="B9150">
        <v>3737</v>
      </c>
      <c r="C9150" t="s">
        <v>14460</v>
      </c>
      <c r="D9150" t="s">
        <v>6168</v>
      </c>
    </row>
    <row r="9151" spans="1:4">
      <c r="A9151" t="s">
        <v>14461</v>
      </c>
      <c r="B9151">
        <v>3738</v>
      </c>
      <c r="C9151" t="s">
        <v>14462</v>
      </c>
      <c r="D9151" t="s">
        <v>6168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14463</v>
      </c>
      <c r="B9153">
        <v>22604</v>
      </c>
      <c r="C9153" t="s">
        <v>243</v>
      </c>
      <c r="D9153" t="s">
        <v>6168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14464</v>
      </c>
      <c r="B9155">
        <v>22606</v>
      </c>
      <c r="C9155" t="s">
        <v>519</v>
      </c>
      <c r="D9155" t="s">
        <v>6314</v>
      </c>
    </row>
    <row r="9156" spans="1:4">
      <c r="A9156" t="s">
        <v>17009</v>
      </c>
      <c r="B9156">
        <v>44269</v>
      </c>
      <c r="C9156" t="s">
        <v>17002</v>
      </c>
      <c r="D9156" t="s">
        <v>123</v>
      </c>
    </row>
    <row r="9157" spans="1:4">
      <c r="A9157" t="s">
        <v>17039</v>
      </c>
      <c r="B9157">
        <v>44293</v>
      </c>
      <c r="C9157" t="s">
        <v>17040</v>
      </c>
      <c r="D9157" t="s">
        <v>6168</v>
      </c>
    </row>
    <row r="9158" spans="1:4">
      <c r="A9158" t="s">
        <v>17041</v>
      </c>
      <c r="B9158">
        <v>44294</v>
      </c>
      <c r="C9158" t="s">
        <v>17042</v>
      </c>
      <c r="D9158" t="s">
        <v>6168</v>
      </c>
    </row>
    <row r="9159" spans="1:4">
      <c r="A9159" t="s">
        <v>17043</v>
      </c>
      <c r="B9159">
        <v>44295</v>
      </c>
      <c r="C9159" t="s">
        <v>17024</v>
      </c>
      <c r="D9159" t="s">
        <v>6168</v>
      </c>
    </row>
    <row r="9160" spans="1:4">
      <c r="A9160" t="s">
        <v>17003</v>
      </c>
      <c r="B9160">
        <v>44263</v>
      </c>
      <c r="C9160" t="s">
        <v>16975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14465</v>
      </c>
      <c r="B9163">
        <v>22608</v>
      </c>
      <c r="C9163" t="s">
        <v>1189</v>
      </c>
      <c r="D9163" t="s">
        <v>6168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14466</v>
      </c>
      <c r="B9165">
        <v>22610</v>
      </c>
      <c r="C9165" t="s">
        <v>2716</v>
      </c>
      <c r="D9165" t="s">
        <v>6314</v>
      </c>
    </row>
    <row r="9166" spans="1:4">
      <c r="A9166" t="s">
        <v>14467</v>
      </c>
      <c r="B9166">
        <v>29667</v>
      </c>
      <c r="D9166" t="s">
        <v>6267</v>
      </c>
    </row>
    <row r="9167" spans="1:4">
      <c r="A9167" t="s">
        <v>14468</v>
      </c>
      <c r="B9167">
        <v>4629</v>
      </c>
      <c r="C9167" t="s">
        <v>14469</v>
      </c>
      <c r="D9167" t="s">
        <v>6245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14470</v>
      </c>
      <c r="B9169">
        <v>10253</v>
      </c>
      <c r="C9169" t="s">
        <v>14471</v>
      </c>
      <c r="D9169" t="s">
        <v>6168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14472</v>
      </c>
      <c r="B9171">
        <v>3099</v>
      </c>
      <c r="C9171" t="s">
        <v>14473</v>
      </c>
      <c r="D9171" t="s">
        <v>6168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14474</v>
      </c>
      <c r="B9174">
        <v>29489</v>
      </c>
      <c r="C9174" t="s">
        <v>4950</v>
      </c>
      <c r="D9174" t="s">
        <v>6168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14475</v>
      </c>
      <c r="B9176">
        <v>39845</v>
      </c>
      <c r="C9176" t="s">
        <v>4591</v>
      </c>
      <c r="D9176" t="s">
        <v>6314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14476</v>
      </c>
      <c r="B9178">
        <v>36166</v>
      </c>
      <c r="C9178" t="s">
        <v>4950</v>
      </c>
      <c r="D9178" t="s">
        <v>6168</v>
      </c>
    </row>
    <row r="9179" spans="1:4">
      <c r="A9179" t="s">
        <v>14477</v>
      </c>
      <c r="B9179">
        <v>36165</v>
      </c>
      <c r="C9179" t="s">
        <v>14478</v>
      </c>
      <c r="D9179" t="s">
        <v>6168</v>
      </c>
    </row>
    <row r="9180" spans="1:4">
      <c r="A9180" t="s">
        <v>14479</v>
      </c>
      <c r="B9180">
        <v>39809</v>
      </c>
      <c r="C9180" t="s">
        <v>461</v>
      </c>
      <c r="D9180" t="s">
        <v>6168</v>
      </c>
    </row>
    <row r="9181" spans="1:4">
      <c r="A9181" t="s">
        <v>14480</v>
      </c>
      <c r="B9181">
        <v>36164</v>
      </c>
      <c r="C9181" t="s">
        <v>461</v>
      </c>
      <c r="D9181" t="s">
        <v>6168</v>
      </c>
    </row>
    <row r="9182" spans="1:4">
      <c r="A9182" t="s">
        <v>14481</v>
      </c>
      <c r="B9182">
        <v>36163</v>
      </c>
      <c r="C9182" t="s">
        <v>6601</v>
      </c>
      <c r="D9182" t="s">
        <v>6168</v>
      </c>
    </row>
    <row r="9183" spans="1:4">
      <c r="A9183" t="s">
        <v>14482</v>
      </c>
      <c r="B9183">
        <v>36162</v>
      </c>
      <c r="C9183" t="s">
        <v>5857</v>
      </c>
      <c r="D9183" t="s">
        <v>6168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14483</v>
      </c>
      <c r="B9186">
        <v>43055</v>
      </c>
      <c r="C9186" t="s">
        <v>6546</v>
      </c>
      <c r="D9186" t="s">
        <v>6168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14484</v>
      </c>
      <c r="B9189">
        <v>35214</v>
      </c>
      <c r="C9189" t="s">
        <v>14485</v>
      </c>
      <c r="D9189" t="s">
        <v>6168</v>
      </c>
    </row>
    <row r="9190" spans="1:4">
      <c r="A9190" t="s">
        <v>14486</v>
      </c>
      <c r="B9190">
        <v>30688</v>
      </c>
      <c r="C9190" t="s">
        <v>12967</v>
      </c>
      <c r="D9190" t="s">
        <v>6168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14487</v>
      </c>
      <c r="B9193">
        <v>29183</v>
      </c>
      <c r="C9193" t="s">
        <v>148</v>
      </c>
      <c r="D9193" t="s">
        <v>6168</v>
      </c>
    </row>
    <row r="9194" spans="1:4">
      <c r="A9194" t="s">
        <v>14488</v>
      </c>
      <c r="B9194">
        <v>35006</v>
      </c>
      <c r="C9194" t="s">
        <v>14489</v>
      </c>
      <c r="D9194" t="s">
        <v>6241</v>
      </c>
    </row>
    <row r="9195" spans="1:4">
      <c r="A9195" t="s">
        <v>14490</v>
      </c>
      <c r="B9195">
        <v>35607</v>
      </c>
      <c r="C9195" t="s">
        <v>12817</v>
      </c>
      <c r="D9195" t="s">
        <v>6245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14491</v>
      </c>
      <c r="B9197">
        <v>27374</v>
      </c>
      <c r="C9197" t="s">
        <v>16694</v>
      </c>
      <c r="D9197" t="s">
        <v>6168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14492</v>
      </c>
      <c r="B9199">
        <v>4433</v>
      </c>
      <c r="C9199" t="s">
        <v>5202</v>
      </c>
      <c r="D9199" t="s">
        <v>6168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14493</v>
      </c>
      <c r="B9201">
        <v>29395</v>
      </c>
      <c r="C9201" t="s">
        <v>6533</v>
      </c>
      <c r="D9201" t="s">
        <v>6168</v>
      </c>
    </row>
    <row r="9202" spans="1:4">
      <c r="A9202" t="s">
        <v>14494</v>
      </c>
      <c r="B9202">
        <v>29301</v>
      </c>
      <c r="C9202" t="s">
        <v>6558</v>
      </c>
      <c r="D9202" t="s">
        <v>6168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14495</v>
      </c>
      <c r="B9204">
        <v>3648</v>
      </c>
      <c r="C9204" t="s">
        <v>2319</v>
      </c>
      <c r="D9204" t="s">
        <v>6168</v>
      </c>
    </row>
    <row r="9205" spans="1:4">
      <c r="A9205" t="s">
        <v>14496</v>
      </c>
      <c r="B9205">
        <v>3649</v>
      </c>
      <c r="C9205" t="s">
        <v>14497</v>
      </c>
      <c r="D9205" t="s">
        <v>6168</v>
      </c>
    </row>
    <row r="9206" spans="1:4">
      <c r="A9206" t="s">
        <v>14498</v>
      </c>
      <c r="B9206">
        <v>23007</v>
      </c>
      <c r="C9206" t="s">
        <v>14497</v>
      </c>
      <c r="D9206" t="s">
        <v>6168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14499</v>
      </c>
      <c r="B9208">
        <v>808</v>
      </c>
      <c r="D9208" t="s">
        <v>6267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14500</v>
      </c>
      <c r="B9210">
        <v>23148</v>
      </c>
      <c r="C9210" t="s">
        <v>10496</v>
      </c>
      <c r="D9210" t="s">
        <v>6243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14501</v>
      </c>
      <c r="B9212">
        <v>35722</v>
      </c>
      <c r="C9212" t="s">
        <v>5399</v>
      </c>
      <c r="D9212" t="s">
        <v>6168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14502</v>
      </c>
      <c r="B9214">
        <v>39590</v>
      </c>
      <c r="C9214" t="s">
        <v>5692</v>
      </c>
      <c r="D9214" t="s">
        <v>9775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14503</v>
      </c>
      <c r="B9218">
        <v>38772</v>
      </c>
      <c r="C9218" t="s">
        <v>14504</v>
      </c>
      <c r="D9218" t="s">
        <v>6168</v>
      </c>
    </row>
    <row r="9219" spans="1:4">
      <c r="A9219" t="s">
        <v>14505</v>
      </c>
      <c r="B9219">
        <v>25002</v>
      </c>
      <c r="C9219" t="s">
        <v>14506</v>
      </c>
      <c r="D9219" t="s">
        <v>6168</v>
      </c>
    </row>
    <row r="9220" spans="1:4">
      <c r="A9220" t="s">
        <v>14507</v>
      </c>
      <c r="B9220">
        <v>26091</v>
      </c>
      <c r="C9220" t="s">
        <v>3461</v>
      </c>
      <c r="D9220" t="s">
        <v>6245</v>
      </c>
    </row>
    <row r="9221" spans="1:4">
      <c r="A9221" t="s">
        <v>14508</v>
      </c>
      <c r="B9221">
        <v>23899</v>
      </c>
      <c r="C9221" t="s">
        <v>140</v>
      </c>
      <c r="D9221" t="s">
        <v>6245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14509</v>
      </c>
      <c r="B9224">
        <v>22612</v>
      </c>
      <c r="C9224" t="s">
        <v>10312</v>
      </c>
      <c r="D9224" t="s">
        <v>6168</v>
      </c>
    </row>
    <row r="9225" spans="1:4">
      <c r="A9225" t="s">
        <v>14510</v>
      </c>
      <c r="B9225">
        <v>34076</v>
      </c>
      <c r="C9225" t="s">
        <v>465</v>
      </c>
      <c r="D9225" t="s">
        <v>6267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14511</v>
      </c>
      <c r="B9227">
        <v>35426</v>
      </c>
      <c r="C9227" t="s">
        <v>6558</v>
      </c>
      <c r="D9227" t="s">
        <v>6168</v>
      </c>
    </row>
    <row r="9228" spans="1:4">
      <c r="A9228" t="s">
        <v>14512</v>
      </c>
      <c r="B9228">
        <v>38263</v>
      </c>
      <c r="C9228" t="s">
        <v>6914</v>
      </c>
      <c r="D9228" t="s">
        <v>6168</v>
      </c>
    </row>
    <row r="9229" spans="1:4">
      <c r="A9229" t="s">
        <v>14513</v>
      </c>
      <c r="B9229">
        <v>35425</v>
      </c>
      <c r="C9229" t="s">
        <v>6219</v>
      </c>
      <c r="D9229" t="s">
        <v>6168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14514</v>
      </c>
      <c r="B9232">
        <v>31458</v>
      </c>
      <c r="C9232" t="s">
        <v>14515</v>
      </c>
      <c r="D9232" t="s">
        <v>6168</v>
      </c>
    </row>
    <row r="9233" spans="1:4">
      <c r="A9233" t="s">
        <v>14516</v>
      </c>
      <c r="B9233">
        <v>10190</v>
      </c>
      <c r="C9233" t="s">
        <v>14517</v>
      </c>
      <c r="D9233" t="s">
        <v>6168</v>
      </c>
    </row>
    <row r="9234" spans="1:4">
      <c r="A9234" t="s">
        <v>14518</v>
      </c>
      <c r="B9234">
        <v>10191</v>
      </c>
      <c r="C9234" t="s">
        <v>14519</v>
      </c>
      <c r="D9234" t="s">
        <v>6168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14520</v>
      </c>
      <c r="B9237">
        <v>31157</v>
      </c>
      <c r="C9237" t="s">
        <v>4626</v>
      </c>
      <c r="D9237" t="s">
        <v>6248</v>
      </c>
    </row>
    <row r="9238" spans="1:4">
      <c r="A9238" t="s">
        <v>14521</v>
      </c>
      <c r="B9238">
        <v>31456</v>
      </c>
      <c r="C9238" t="s">
        <v>6219</v>
      </c>
      <c r="D9238" t="s">
        <v>6168</v>
      </c>
    </row>
    <row r="9239" spans="1:4">
      <c r="A9239" t="s">
        <v>14522</v>
      </c>
      <c r="B9239">
        <v>23900</v>
      </c>
      <c r="C9239" t="s">
        <v>7313</v>
      </c>
      <c r="D9239" t="s">
        <v>6168</v>
      </c>
    </row>
    <row r="9240" spans="1:4">
      <c r="A9240" t="s">
        <v>14523</v>
      </c>
      <c r="B9240">
        <v>29755</v>
      </c>
      <c r="C9240" t="s">
        <v>3071</v>
      </c>
      <c r="D9240" t="s">
        <v>6168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14524</v>
      </c>
      <c r="B9242">
        <v>1065</v>
      </c>
      <c r="C9242" t="s">
        <v>14525</v>
      </c>
      <c r="D9242" t="s">
        <v>6168</v>
      </c>
    </row>
    <row r="9243" spans="1:4">
      <c r="A9243" t="s">
        <v>14526</v>
      </c>
      <c r="B9243">
        <v>1066</v>
      </c>
      <c r="C9243" t="s">
        <v>9020</v>
      </c>
      <c r="D9243" t="s">
        <v>6168</v>
      </c>
    </row>
    <row r="9244" spans="1:4">
      <c r="A9244" t="s">
        <v>14527</v>
      </c>
      <c r="B9244">
        <v>1067</v>
      </c>
      <c r="C9244" t="s">
        <v>14528</v>
      </c>
      <c r="D9244" t="s">
        <v>6168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14529</v>
      </c>
      <c r="B9246">
        <v>23074</v>
      </c>
      <c r="C9246" t="s">
        <v>14530</v>
      </c>
      <c r="D9246" t="s">
        <v>6267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14531</v>
      </c>
      <c r="B9248">
        <v>2315</v>
      </c>
      <c r="C9248" t="s">
        <v>1475</v>
      </c>
      <c r="D9248" t="s">
        <v>6168</v>
      </c>
    </row>
    <row r="9249" spans="1:4">
      <c r="A9249" t="s">
        <v>14532</v>
      </c>
      <c r="B9249">
        <v>2317</v>
      </c>
      <c r="C9249" t="s">
        <v>1475</v>
      </c>
      <c r="D9249" t="s">
        <v>6168</v>
      </c>
    </row>
    <row r="9250" spans="1:4">
      <c r="A9250" t="s">
        <v>14533</v>
      </c>
      <c r="B9250">
        <v>232</v>
      </c>
      <c r="C9250" t="s">
        <v>6568</v>
      </c>
      <c r="D9250" t="s">
        <v>6168</v>
      </c>
    </row>
    <row r="9251" spans="1:4">
      <c r="A9251" t="s">
        <v>14534</v>
      </c>
      <c r="B9251">
        <v>2314</v>
      </c>
      <c r="C9251" t="s">
        <v>14535</v>
      </c>
      <c r="D9251" t="s">
        <v>6168</v>
      </c>
    </row>
    <row r="9252" spans="1:4">
      <c r="A9252" t="s">
        <v>14536</v>
      </c>
      <c r="B9252">
        <v>233</v>
      </c>
      <c r="C9252" t="s">
        <v>2291</v>
      </c>
      <c r="D9252" t="s">
        <v>6168</v>
      </c>
    </row>
    <row r="9253" spans="1:4">
      <c r="A9253" t="s">
        <v>14537</v>
      </c>
      <c r="B9253">
        <v>234</v>
      </c>
      <c r="C9253" t="s">
        <v>14538</v>
      </c>
      <c r="D9253" t="s">
        <v>6168</v>
      </c>
    </row>
    <row r="9254" spans="1:4">
      <c r="A9254" t="s">
        <v>14539</v>
      </c>
      <c r="B9254">
        <v>2316</v>
      </c>
      <c r="C9254" t="s">
        <v>1475</v>
      </c>
      <c r="D9254" t="s">
        <v>6168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14540</v>
      </c>
      <c r="B9256">
        <v>30784</v>
      </c>
      <c r="C9256" t="s">
        <v>14541</v>
      </c>
      <c r="D9256" t="s">
        <v>6168</v>
      </c>
    </row>
    <row r="9257" spans="1:4">
      <c r="A9257" t="s">
        <v>14542</v>
      </c>
      <c r="B9257">
        <v>31291</v>
      </c>
      <c r="C9257" t="s">
        <v>6184</v>
      </c>
      <c r="D9257" t="s">
        <v>6168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14543</v>
      </c>
      <c r="B9259">
        <v>39459</v>
      </c>
      <c r="C9259" t="s">
        <v>14544</v>
      </c>
      <c r="D9259" t="s">
        <v>6267</v>
      </c>
    </row>
    <row r="9260" spans="1:4">
      <c r="A9260" t="s">
        <v>14545</v>
      </c>
      <c r="B9260">
        <v>40862</v>
      </c>
      <c r="C9260" t="s">
        <v>14544</v>
      </c>
      <c r="D9260" t="s">
        <v>6314</v>
      </c>
    </row>
    <row r="9261" spans="1:4">
      <c r="A9261" t="s">
        <v>14546</v>
      </c>
      <c r="B9261">
        <v>4076</v>
      </c>
      <c r="C9261" t="s">
        <v>1099</v>
      </c>
      <c r="D9261" t="s">
        <v>6605</v>
      </c>
    </row>
    <row r="9262" spans="1:4">
      <c r="A9262" t="s">
        <v>14547</v>
      </c>
      <c r="B9262">
        <v>35387</v>
      </c>
      <c r="D9262" t="s">
        <v>6245</v>
      </c>
    </row>
    <row r="9263" spans="1:4">
      <c r="A9263" t="s">
        <v>14548</v>
      </c>
      <c r="B9263">
        <v>39567</v>
      </c>
      <c r="C9263" t="s">
        <v>13270</v>
      </c>
      <c r="D9263" t="s">
        <v>6267</v>
      </c>
    </row>
    <row r="9264" spans="1:4">
      <c r="A9264" t="s">
        <v>14549</v>
      </c>
      <c r="B9264">
        <v>39499</v>
      </c>
      <c r="C9264" t="s">
        <v>626</v>
      </c>
      <c r="D9264" t="s">
        <v>6267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14550</v>
      </c>
      <c r="B9266">
        <v>23447</v>
      </c>
      <c r="C9266" t="s">
        <v>2396</v>
      </c>
      <c r="D9266" t="s">
        <v>6168</v>
      </c>
    </row>
    <row r="9267" spans="1:4">
      <c r="A9267" t="s">
        <v>14551</v>
      </c>
      <c r="B9267">
        <v>30388</v>
      </c>
      <c r="C9267" t="s">
        <v>13249</v>
      </c>
      <c r="D9267" t="s">
        <v>6168</v>
      </c>
    </row>
    <row r="9268" spans="1:4">
      <c r="A9268" t="s">
        <v>14552</v>
      </c>
      <c r="B9268">
        <v>29292</v>
      </c>
      <c r="C9268" t="s">
        <v>14553</v>
      </c>
      <c r="D9268" t="s">
        <v>6168</v>
      </c>
    </row>
    <row r="9269" spans="1:4">
      <c r="A9269" t="s">
        <v>14554</v>
      </c>
      <c r="B9269">
        <v>30484</v>
      </c>
      <c r="C9269" t="s">
        <v>14555</v>
      </c>
      <c r="D9269" t="s">
        <v>6168</v>
      </c>
    </row>
    <row r="9270" spans="1:4">
      <c r="A9270" t="s">
        <v>14556</v>
      </c>
      <c r="B9270">
        <v>31289</v>
      </c>
      <c r="C9270" t="s">
        <v>10862</v>
      </c>
      <c r="D9270" t="s">
        <v>6168</v>
      </c>
    </row>
    <row r="9271" spans="1:4">
      <c r="A9271" t="s">
        <v>14557</v>
      </c>
      <c r="B9271">
        <v>23448</v>
      </c>
      <c r="C9271" t="s">
        <v>1099</v>
      </c>
      <c r="D9271" t="s">
        <v>6168</v>
      </c>
    </row>
    <row r="9272" spans="1:4">
      <c r="A9272" t="s">
        <v>14558</v>
      </c>
      <c r="B9272">
        <v>31282</v>
      </c>
      <c r="C9272" t="s">
        <v>14559</v>
      </c>
      <c r="D9272" t="s">
        <v>6168</v>
      </c>
    </row>
    <row r="9273" spans="1:4">
      <c r="A9273" t="s">
        <v>14560</v>
      </c>
      <c r="B9273">
        <v>26090</v>
      </c>
      <c r="C9273" t="s">
        <v>8013</v>
      </c>
      <c r="D9273" t="s">
        <v>6168</v>
      </c>
    </row>
    <row r="9274" spans="1:4">
      <c r="A9274" t="s">
        <v>14561</v>
      </c>
      <c r="B9274">
        <v>24270</v>
      </c>
      <c r="C9274" t="s">
        <v>4287</v>
      </c>
      <c r="D9274" t="s">
        <v>6245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14562</v>
      </c>
      <c r="B9276">
        <v>42218</v>
      </c>
      <c r="C9276" t="s">
        <v>14563</v>
      </c>
      <c r="D9276" t="s">
        <v>6168</v>
      </c>
    </row>
    <row r="9277" spans="1:4">
      <c r="A9277" t="s">
        <v>14564</v>
      </c>
      <c r="B9277">
        <v>43537</v>
      </c>
      <c r="C9277" t="s">
        <v>3199</v>
      </c>
      <c r="D9277" t="s">
        <v>134</v>
      </c>
    </row>
    <row r="9278" spans="1:4">
      <c r="A9278" t="s">
        <v>17219</v>
      </c>
      <c r="B9278">
        <v>45308</v>
      </c>
      <c r="C9278" t="s">
        <v>17220</v>
      </c>
      <c r="D9278" t="s">
        <v>6267</v>
      </c>
    </row>
    <row r="9279" spans="1:4">
      <c r="A9279" t="s">
        <v>16692</v>
      </c>
      <c r="B9279">
        <v>26010</v>
      </c>
      <c r="C9279" t="s">
        <v>16693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14565</v>
      </c>
      <c r="B9281">
        <v>4262</v>
      </c>
      <c r="C9281" t="s">
        <v>9902</v>
      </c>
      <c r="D9281" t="s">
        <v>6168</v>
      </c>
    </row>
    <row r="9282" spans="1:4">
      <c r="A9282" t="s">
        <v>14566</v>
      </c>
      <c r="B9282">
        <v>4263</v>
      </c>
      <c r="C9282" t="s">
        <v>10583</v>
      </c>
      <c r="D9282" t="s">
        <v>6168</v>
      </c>
    </row>
    <row r="9283" spans="1:4">
      <c r="A9283" t="s">
        <v>14567</v>
      </c>
      <c r="B9283">
        <v>23009</v>
      </c>
      <c r="C9283" t="s">
        <v>2346</v>
      </c>
      <c r="D9283" t="s">
        <v>6168</v>
      </c>
    </row>
    <row r="9284" spans="1:4">
      <c r="A9284" t="s">
        <v>14568</v>
      </c>
      <c r="B9284">
        <v>4264</v>
      </c>
      <c r="C9284" t="s">
        <v>2981</v>
      </c>
      <c r="D9284" t="s">
        <v>6168</v>
      </c>
    </row>
    <row r="9285" spans="1:4">
      <c r="A9285" t="s">
        <v>14569</v>
      </c>
      <c r="B9285">
        <v>23010</v>
      </c>
      <c r="C9285" t="s">
        <v>13249</v>
      </c>
      <c r="D9285" t="s">
        <v>6168</v>
      </c>
    </row>
    <row r="9286" spans="1:4">
      <c r="A9286" t="s">
        <v>14570</v>
      </c>
      <c r="B9286">
        <v>4265</v>
      </c>
      <c r="C9286" t="s">
        <v>3137</v>
      </c>
      <c r="D9286" t="s">
        <v>6168</v>
      </c>
    </row>
    <row r="9287" spans="1:4">
      <c r="A9287" t="s">
        <v>14571</v>
      </c>
      <c r="B9287">
        <v>4266</v>
      </c>
      <c r="C9287" t="s">
        <v>14572</v>
      </c>
      <c r="D9287" t="s">
        <v>6168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14573</v>
      </c>
      <c r="B9289">
        <v>22614</v>
      </c>
      <c r="C9289" t="s">
        <v>14574</v>
      </c>
      <c r="D9289" t="s">
        <v>6168</v>
      </c>
    </row>
    <row r="9290" spans="1:4">
      <c r="A9290" t="s">
        <v>14575</v>
      </c>
      <c r="B9290">
        <v>22615</v>
      </c>
      <c r="C9290" t="s">
        <v>6558</v>
      </c>
      <c r="D9290" t="s">
        <v>6168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14576</v>
      </c>
      <c r="B9293">
        <v>31290</v>
      </c>
      <c r="C9293" t="s">
        <v>14577</v>
      </c>
      <c r="D9293" t="s">
        <v>6168</v>
      </c>
    </row>
    <row r="9294" spans="1:4">
      <c r="A9294" t="s">
        <v>14578</v>
      </c>
      <c r="B9294">
        <v>23011</v>
      </c>
      <c r="C9294" t="s">
        <v>2356</v>
      </c>
      <c r="D9294" t="s">
        <v>6168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14579</v>
      </c>
      <c r="B9296">
        <v>30393</v>
      </c>
      <c r="C9296" t="s">
        <v>5430</v>
      </c>
      <c r="D9296" t="s">
        <v>6168</v>
      </c>
    </row>
    <row r="9297" spans="1:4">
      <c r="A9297" t="s">
        <v>14580</v>
      </c>
      <c r="B9297">
        <v>29659</v>
      </c>
      <c r="C9297" t="s">
        <v>3550</v>
      </c>
      <c r="D9297" t="s">
        <v>6168</v>
      </c>
    </row>
    <row r="9298" spans="1:4">
      <c r="A9298" t="s">
        <v>14581</v>
      </c>
      <c r="B9298">
        <v>34155</v>
      </c>
      <c r="C9298" t="s">
        <v>9537</v>
      </c>
      <c r="D9298" t="s">
        <v>6168</v>
      </c>
    </row>
    <row r="9299" spans="1:4">
      <c r="A9299" t="s">
        <v>14582</v>
      </c>
      <c r="B9299">
        <v>29664</v>
      </c>
      <c r="C9299" t="s">
        <v>8466</v>
      </c>
      <c r="D9299" t="s">
        <v>6168</v>
      </c>
    </row>
    <row r="9300" spans="1:4">
      <c r="A9300" t="s">
        <v>14583</v>
      </c>
      <c r="B9300">
        <v>40456</v>
      </c>
      <c r="C9300" t="s">
        <v>7781</v>
      </c>
      <c r="D9300" t="s">
        <v>6245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14584</v>
      </c>
      <c r="B9303">
        <v>22617</v>
      </c>
      <c r="C9303" t="s">
        <v>14585</v>
      </c>
      <c r="D9303" t="s">
        <v>6168</v>
      </c>
    </row>
    <row r="9304" spans="1:4">
      <c r="A9304" t="s">
        <v>14586</v>
      </c>
      <c r="B9304">
        <v>22618</v>
      </c>
      <c r="C9304" t="s">
        <v>7972</v>
      </c>
      <c r="D9304" t="s">
        <v>6267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14587</v>
      </c>
      <c r="B9306">
        <v>23071</v>
      </c>
      <c r="C9306" t="s">
        <v>14588</v>
      </c>
      <c r="D9306" t="s">
        <v>6305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14589</v>
      </c>
      <c r="B9308">
        <v>29239</v>
      </c>
      <c r="C9308" t="s">
        <v>1311</v>
      </c>
      <c r="D9308" t="s">
        <v>6168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14590</v>
      </c>
      <c r="B9310">
        <v>24832</v>
      </c>
      <c r="C9310" t="s">
        <v>695</v>
      </c>
      <c r="D9310" t="s">
        <v>6267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14591</v>
      </c>
      <c r="B9312">
        <v>30696</v>
      </c>
      <c r="C9312" t="s">
        <v>14592</v>
      </c>
      <c r="D9312" t="s">
        <v>6168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14593</v>
      </c>
      <c r="B9314">
        <v>29849</v>
      </c>
      <c r="C9314" t="s">
        <v>14594</v>
      </c>
      <c r="D9314" t="s">
        <v>6168</v>
      </c>
    </row>
    <row r="9315" spans="1:4">
      <c r="A9315" t="s">
        <v>14595</v>
      </c>
      <c r="B9315">
        <v>20542</v>
      </c>
      <c r="C9315" t="s">
        <v>14596</v>
      </c>
      <c r="D9315" t="s">
        <v>6230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17010</v>
      </c>
      <c r="B9317">
        <v>44270</v>
      </c>
      <c r="C9317" t="s">
        <v>5424</v>
      </c>
      <c r="D9317" t="s">
        <v>123</v>
      </c>
    </row>
    <row r="9318" spans="1:4">
      <c r="A9318" t="s">
        <v>17044</v>
      </c>
      <c r="B9318">
        <v>44296</v>
      </c>
      <c r="C9318" t="s">
        <v>11993</v>
      </c>
      <c r="D9318" t="s">
        <v>6168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14597</v>
      </c>
      <c r="B9320">
        <v>30757</v>
      </c>
      <c r="C9320" t="s">
        <v>9195</v>
      </c>
      <c r="D9320" t="s">
        <v>6168</v>
      </c>
    </row>
    <row r="9321" spans="1:4">
      <c r="A9321" t="s">
        <v>14598</v>
      </c>
      <c r="B9321">
        <v>23902</v>
      </c>
      <c r="C9321" t="s">
        <v>2491</v>
      </c>
      <c r="D9321" t="s">
        <v>6605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14599</v>
      </c>
      <c r="B9324">
        <v>30691</v>
      </c>
      <c r="C9324" t="s">
        <v>14600</v>
      </c>
      <c r="D9324" t="s">
        <v>6168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14601</v>
      </c>
      <c r="B9326">
        <v>25426</v>
      </c>
      <c r="C9326" t="s">
        <v>6920</v>
      </c>
      <c r="D9326" t="s">
        <v>6168</v>
      </c>
    </row>
    <row r="9327" spans="1:4">
      <c r="A9327" t="s">
        <v>14602</v>
      </c>
      <c r="B9327">
        <v>35121</v>
      </c>
      <c r="C9327" t="s">
        <v>12728</v>
      </c>
      <c r="D9327" t="s">
        <v>6245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14603</v>
      </c>
      <c r="B9329">
        <v>22620</v>
      </c>
      <c r="C9329" t="s">
        <v>9035</v>
      </c>
      <c r="D9329" t="s">
        <v>6168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14604</v>
      </c>
      <c r="B9331">
        <v>22622</v>
      </c>
      <c r="C9331" t="s">
        <v>9710</v>
      </c>
      <c r="D9331" t="s">
        <v>6168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14605</v>
      </c>
      <c r="B9333">
        <v>22624</v>
      </c>
      <c r="C9333" t="s">
        <v>579</v>
      </c>
      <c r="D9333" t="s">
        <v>6267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14606</v>
      </c>
      <c r="B9335">
        <v>22625</v>
      </c>
      <c r="C9335" t="s">
        <v>14607</v>
      </c>
      <c r="D9335" t="s">
        <v>6168</v>
      </c>
    </row>
    <row r="9336" spans="1:4">
      <c r="A9336" t="s">
        <v>14608</v>
      </c>
      <c r="B9336">
        <v>22626</v>
      </c>
      <c r="C9336" t="s">
        <v>14607</v>
      </c>
      <c r="D9336" t="s">
        <v>6168</v>
      </c>
    </row>
    <row r="9337" spans="1:4">
      <c r="A9337" t="s">
        <v>14609</v>
      </c>
      <c r="B9337">
        <v>20519</v>
      </c>
      <c r="C9337" t="s">
        <v>4950</v>
      </c>
      <c r="D9337" t="s">
        <v>6168</v>
      </c>
    </row>
    <row r="9338" spans="1:4">
      <c r="A9338" t="s">
        <v>14610</v>
      </c>
      <c r="B9338">
        <v>22627</v>
      </c>
      <c r="C9338" t="s">
        <v>6535</v>
      </c>
      <c r="D9338" t="s">
        <v>6168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14611</v>
      </c>
      <c r="B9340">
        <v>31734</v>
      </c>
      <c r="C9340" t="s">
        <v>9537</v>
      </c>
      <c r="D9340" t="s">
        <v>6168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14612</v>
      </c>
      <c r="B9342">
        <v>23903</v>
      </c>
      <c r="C9342" t="s">
        <v>6719</v>
      </c>
      <c r="D9342" t="s">
        <v>6168</v>
      </c>
    </row>
    <row r="9343" spans="1:4">
      <c r="A9343" t="s">
        <v>14613</v>
      </c>
      <c r="B9343">
        <v>24929</v>
      </c>
      <c r="C9343" t="s">
        <v>6719</v>
      </c>
      <c r="D9343" t="s">
        <v>6168</v>
      </c>
    </row>
    <row r="9344" spans="1:4">
      <c r="A9344" t="s">
        <v>14614</v>
      </c>
      <c r="B9344">
        <v>23904</v>
      </c>
      <c r="C9344" t="s">
        <v>4950</v>
      </c>
      <c r="D9344" t="s">
        <v>6168</v>
      </c>
    </row>
    <row r="9345" spans="1:4">
      <c r="A9345" t="s">
        <v>14615</v>
      </c>
      <c r="B9345">
        <v>10192</v>
      </c>
      <c r="C9345" t="s">
        <v>14616</v>
      </c>
      <c r="D9345" t="s">
        <v>6168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14617</v>
      </c>
      <c r="B9348">
        <v>39530</v>
      </c>
      <c r="C9348" t="s">
        <v>14618</v>
      </c>
      <c r="D9348" t="s">
        <v>6267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14619</v>
      </c>
      <c r="B9350">
        <v>23905</v>
      </c>
      <c r="C9350" t="s">
        <v>7360</v>
      </c>
      <c r="D9350" t="s">
        <v>6168</v>
      </c>
    </row>
    <row r="9351" spans="1:4">
      <c r="A9351" t="s">
        <v>14620</v>
      </c>
      <c r="B9351">
        <v>42112</v>
      </c>
      <c r="C9351" t="s">
        <v>2944</v>
      </c>
      <c r="D9351" t="s">
        <v>6168</v>
      </c>
    </row>
    <row r="9352" spans="1:4">
      <c r="A9352" t="s">
        <v>14621</v>
      </c>
      <c r="B9352">
        <v>23906</v>
      </c>
      <c r="C9352" t="s">
        <v>8080</v>
      </c>
      <c r="D9352" t="s">
        <v>6168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14622</v>
      </c>
      <c r="B9356">
        <v>30661</v>
      </c>
      <c r="C9356" t="s">
        <v>7745</v>
      </c>
      <c r="D9356" t="s">
        <v>6168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17333</v>
      </c>
      <c r="B9358">
        <v>45415</v>
      </c>
      <c r="C9358" t="s">
        <v>17334</v>
      </c>
      <c r="D9358" t="s">
        <v>6267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14623</v>
      </c>
      <c r="B9360">
        <v>27403</v>
      </c>
      <c r="C9360" t="s">
        <v>14624</v>
      </c>
      <c r="D9360" t="s">
        <v>6168</v>
      </c>
    </row>
    <row r="9361" spans="1:4">
      <c r="A9361" t="s">
        <v>14625</v>
      </c>
      <c r="B9361">
        <v>3845</v>
      </c>
      <c r="C9361" t="s">
        <v>8330</v>
      </c>
      <c r="D9361" t="s">
        <v>6168</v>
      </c>
    </row>
    <row r="9362" spans="1:4">
      <c r="A9362" t="s">
        <v>14626</v>
      </c>
      <c r="B9362">
        <v>3844</v>
      </c>
      <c r="C9362" t="s">
        <v>7348</v>
      </c>
      <c r="D9362" t="s">
        <v>6168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14627</v>
      </c>
      <c r="B9365">
        <v>3948</v>
      </c>
      <c r="C9365" t="s">
        <v>6226</v>
      </c>
      <c r="D9365" t="s">
        <v>6168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14628</v>
      </c>
      <c r="B9368">
        <v>2472</v>
      </c>
      <c r="C9368" t="s">
        <v>10469</v>
      </c>
      <c r="D9368" t="s">
        <v>6168</v>
      </c>
    </row>
    <row r="9369" spans="1:4">
      <c r="A9369" t="s">
        <v>14629</v>
      </c>
      <c r="B9369">
        <v>2473</v>
      </c>
      <c r="C9369" t="s">
        <v>9411</v>
      </c>
      <c r="D9369" t="s">
        <v>6168</v>
      </c>
    </row>
    <row r="9370" spans="1:4">
      <c r="A9370" t="s">
        <v>14630</v>
      </c>
      <c r="B9370">
        <v>1090</v>
      </c>
      <c r="C9370" t="s">
        <v>3524</v>
      </c>
      <c r="D9370" t="s">
        <v>6872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14631</v>
      </c>
      <c r="B9372">
        <v>36161</v>
      </c>
      <c r="C9372" t="s">
        <v>6352</v>
      </c>
      <c r="D9372" t="s">
        <v>6168</v>
      </c>
    </row>
    <row r="9373" spans="1:4">
      <c r="A9373" t="s">
        <v>17189</v>
      </c>
      <c r="B9373">
        <v>44509</v>
      </c>
      <c r="C9373" t="s">
        <v>243</v>
      </c>
      <c r="D9373" t="s">
        <v>6168</v>
      </c>
    </row>
    <row r="9374" spans="1:4">
      <c r="A9374" t="s">
        <v>14632</v>
      </c>
      <c r="B9374">
        <v>42113</v>
      </c>
      <c r="C9374" t="s">
        <v>5857</v>
      </c>
      <c r="D9374" t="s">
        <v>6168</v>
      </c>
    </row>
    <row r="9375" spans="1:4">
      <c r="A9375" t="s">
        <v>14633</v>
      </c>
      <c r="B9375">
        <v>36160</v>
      </c>
      <c r="C9375" t="s">
        <v>461</v>
      </c>
      <c r="D9375" t="s">
        <v>6168</v>
      </c>
    </row>
    <row r="9376" spans="1:4">
      <c r="A9376" t="s">
        <v>14634</v>
      </c>
      <c r="B9376">
        <v>41520</v>
      </c>
      <c r="C9376" t="s">
        <v>14635</v>
      </c>
      <c r="D9376" t="s">
        <v>6168</v>
      </c>
    </row>
    <row r="9377" spans="1:4">
      <c r="A9377" t="s">
        <v>14636</v>
      </c>
      <c r="B9377">
        <v>42114</v>
      </c>
      <c r="C9377" t="s">
        <v>461</v>
      </c>
      <c r="D9377" t="s">
        <v>6168</v>
      </c>
    </row>
    <row r="9378" spans="1:4">
      <c r="A9378" t="s">
        <v>14637</v>
      </c>
      <c r="B9378">
        <v>36159</v>
      </c>
      <c r="C9378" t="s">
        <v>461</v>
      </c>
      <c r="D9378" t="s">
        <v>6168</v>
      </c>
    </row>
    <row r="9379" spans="1:4">
      <c r="A9379" t="s">
        <v>14638</v>
      </c>
      <c r="B9379">
        <v>36158</v>
      </c>
      <c r="C9379" t="s">
        <v>14478</v>
      </c>
      <c r="D9379" t="s">
        <v>6168</v>
      </c>
    </row>
    <row r="9380" spans="1:4">
      <c r="A9380" t="s">
        <v>14639</v>
      </c>
      <c r="B9380">
        <v>41250</v>
      </c>
      <c r="C9380" t="s">
        <v>461</v>
      </c>
      <c r="D9380" t="s">
        <v>6168</v>
      </c>
    </row>
    <row r="9381" spans="1:4">
      <c r="A9381" t="s">
        <v>14640</v>
      </c>
      <c r="B9381">
        <v>36157</v>
      </c>
      <c r="C9381" t="s">
        <v>461</v>
      </c>
      <c r="D9381" t="s">
        <v>6168</v>
      </c>
    </row>
    <row r="9382" spans="1:4">
      <c r="A9382" t="s">
        <v>17475</v>
      </c>
      <c r="B9382">
        <v>45763</v>
      </c>
      <c r="C9382" t="s">
        <v>6546</v>
      </c>
      <c r="D9382" t="s">
        <v>6168</v>
      </c>
    </row>
    <row r="9383" spans="1:4">
      <c r="A9383" t="s">
        <v>14641</v>
      </c>
      <c r="B9383">
        <v>41251</v>
      </c>
      <c r="C9383" t="s">
        <v>11977</v>
      </c>
      <c r="D9383" t="s">
        <v>6168</v>
      </c>
    </row>
    <row r="9384" spans="1:4">
      <c r="A9384" t="s">
        <v>14642</v>
      </c>
      <c r="B9384">
        <v>36156</v>
      </c>
      <c r="C9384" t="s">
        <v>8939</v>
      </c>
      <c r="D9384" t="s">
        <v>6168</v>
      </c>
    </row>
    <row r="9385" spans="1:4">
      <c r="A9385" t="s">
        <v>14643</v>
      </c>
      <c r="B9385">
        <v>36155</v>
      </c>
      <c r="C9385" t="s">
        <v>8939</v>
      </c>
      <c r="D9385" t="s">
        <v>6168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14644</v>
      </c>
      <c r="B9388">
        <v>25427</v>
      </c>
      <c r="C9388" t="s">
        <v>776</v>
      </c>
      <c r="D9388" t="s">
        <v>6248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14645</v>
      </c>
      <c r="B9390">
        <v>24834</v>
      </c>
      <c r="C9390" t="s">
        <v>2630</v>
      </c>
      <c r="D9390" t="s">
        <v>6314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14646</v>
      </c>
      <c r="B9394">
        <v>4026</v>
      </c>
      <c r="C9394" t="s">
        <v>6914</v>
      </c>
      <c r="D9394" t="s">
        <v>6168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14647</v>
      </c>
      <c r="B9396">
        <v>40454</v>
      </c>
      <c r="C9396" t="s">
        <v>264</v>
      </c>
      <c r="D9396" t="s">
        <v>6267</v>
      </c>
    </row>
    <row r="9397" spans="1:4">
      <c r="A9397" t="s">
        <v>14648</v>
      </c>
      <c r="B9397">
        <v>24836</v>
      </c>
      <c r="C9397" t="s">
        <v>264</v>
      </c>
      <c r="D9397" t="s">
        <v>6314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14649</v>
      </c>
      <c r="B9399">
        <v>40860</v>
      </c>
      <c r="C9399" t="s">
        <v>14650</v>
      </c>
      <c r="D9399" t="s">
        <v>6248</v>
      </c>
    </row>
    <row r="9400" spans="1:4">
      <c r="A9400" t="s">
        <v>14651</v>
      </c>
      <c r="B9400">
        <v>40859</v>
      </c>
      <c r="C9400" t="s">
        <v>8072</v>
      </c>
      <c r="D9400" t="s">
        <v>6168</v>
      </c>
    </row>
    <row r="9401" spans="1:4">
      <c r="A9401" t="s">
        <v>14652</v>
      </c>
      <c r="B9401">
        <v>33961</v>
      </c>
      <c r="C9401" t="s">
        <v>148</v>
      </c>
      <c r="D9401" t="s">
        <v>6168</v>
      </c>
    </row>
    <row r="9402" spans="1:4">
      <c r="A9402" t="s">
        <v>14653</v>
      </c>
      <c r="B9402">
        <v>27277</v>
      </c>
      <c r="C9402" t="s">
        <v>4950</v>
      </c>
      <c r="D9402" t="s">
        <v>6168</v>
      </c>
    </row>
    <row r="9403" spans="1:4">
      <c r="A9403" t="s">
        <v>14654</v>
      </c>
      <c r="B9403">
        <v>27272</v>
      </c>
      <c r="C9403" t="s">
        <v>150</v>
      </c>
      <c r="D9403" t="s">
        <v>6168</v>
      </c>
    </row>
    <row r="9404" spans="1:4">
      <c r="A9404" t="s">
        <v>14655</v>
      </c>
      <c r="B9404">
        <v>25765</v>
      </c>
      <c r="C9404" t="s">
        <v>14312</v>
      </c>
      <c r="D9404" t="s">
        <v>6168</v>
      </c>
    </row>
    <row r="9405" spans="1:4">
      <c r="A9405" t="s">
        <v>14656</v>
      </c>
      <c r="B9405">
        <v>27276</v>
      </c>
      <c r="C9405" t="s">
        <v>378</v>
      </c>
      <c r="D9405" t="s">
        <v>6168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14657</v>
      </c>
      <c r="B9408">
        <v>510</v>
      </c>
      <c r="C9408" t="s">
        <v>6219</v>
      </c>
      <c r="D9408" t="s">
        <v>6168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17158</v>
      </c>
      <c r="B9410">
        <v>44455</v>
      </c>
      <c r="C9410" t="s">
        <v>17159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14658</v>
      </c>
      <c r="B9412">
        <v>29178</v>
      </c>
      <c r="C9412" t="s">
        <v>7169</v>
      </c>
      <c r="D9412" t="s">
        <v>6168</v>
      </c>
    </row>
    <row r="9413" spans="1:4">
      <c r="A9413" t="s">
        <v>14659</v>
      </c>
      <c r="B9413">
        <v>25383</v>
      </c>
      <c r="C9413" t="s">
        <v>6783</v>
      </c>
      <c r="D9413" t="s">
        <v>6168</v>
      </c>
    </row>
    <row r="9414" spans="1:4">
      <c r="A9414" t="s">
        <v>14660</v>
      </c>
      <c r="B9414">
        <v>35245</v>
      </c>
      <c r="C9414" t="s">
        <v>10366</v>
      </c>
      <c r="D9414" t="s">
        <v>6168</v>
      </c>
    </row>
    <row r="9415" spans="1:4">
      <c r="A9415" t="s">
        <v>16759</v>
      </c>
      <c r="B9415">
        <v>43330</v>
      </c>
      <c r="C9415" t="s">
        <v>16760</v>
      </c>
      <c r="D9415" t="s">
        <v>123</v>
      </c>
    </row>
    <row r="9416" spans="1:4">
      <c r="A9416" t="s">
        <v>16814</v>
      </c>
      <c r="B9416">
        <v>43363</v>
      </c>
      <c r="C9416" t="s">
        <v>16815</v>
      </c>
      <c r="D9416" t="s">
        <v>6168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14661</v>
      </c>
      <c r="B9418">
        <v>3296</v>
      </c>
      <c r="C9418" t="s">
        <v>14662</v>
      </c>
      <c r="D9418" t="s">
        <v>6168</v>
      </c>
    </row>
    <row r="9419" spans="1:4">
      <c r="A9419" t="s">
        <v>14663</v>
      </c>
      <c r="B9419">
        <v>876</v>
      </c>
      <c r="C9419" t="s">
        <v>9760</v>
      </c>
      <c r="D9419" t="s">
        <v>6168</v>
      </c>
    </row>
    <row r="9420" spans="1:4">
      <c r="A9420" t="s">
        <v>14663</v>
      </c>
      <c r="B9420">
        <v>41812</v>
      </c>
      <c r="C9420" t="s">
        <v>2070</v>
      </c>
      <c r="D9420" t="s">
        <v>6168</v>
      </c>
    </row>
    <row r="9421" spans="1:4">
      <c r="A9421" t="s">
        <v>14664</v>
      </c>
      <c r="B9421">
        <v>3297</v>
      </c>
      <c r="C9421" t="s">
        <v>14665</v>
      </c>
      <c r="D9421" t="s">
        <v>6168</v>
      </c>
    </row>
    <row r="9422" spans="1:4">
      <c r="A9422" t="s">
        <v>14666</v>
      </c>
      <c r="B9422">
        <v>41811</v>
      </c>
      <c r="C9422" t="s">
        <v>14667</v>
      </c>
      <c r="D9422" t="s">
        <v>6168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14668</v>
      </c>
      <c r="B9424">
        <v>2491</v>
      </c>
      <c r="D9424" t="s">
        <v>6168</v>
      </c>
    </row>
    <row r="9425" spans="1:4">
      <c r="A9425" t="s">
        <v>14669</v>
      </c>
      <c r="B9425">
        <v>2492</v>
      </c>
      <c r="D9425" t="s">
        <v>6168</v>
      </c>
    </row>
    <row r="9426" spans="1:4">
      <c r="A9426" t="s">
        <v>14670</v>
      </c>
      <c r="B9426">
        <v>2493</v>
      </c>
      <c r="D9426" t="s">
        <v>6168</v>
      </c>
    </row>
    <row r="9427" spans="1:4">
      <c r="A9427" t="s">
        <v>14671</v>
      </c>
      <c r="B9427">
        <v>2494</v>
      </c>
      <c r="C9427" t="s">
        <v>14672</v>
      </c>
      <c r="D9427" t="s">
        <v>6168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14673</v>
      </c>
      <c r="B9430">
        <v>616</v>
      </c>
      <c r="C9430" t="s">
        <v>8929</v>
      </c>
      <c r="D9430" t="s">
        <v>6168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14674</v>
      </c>
      <c r="B9432">
        <v>30092</v>
      </c>
      <c r="C9432" t="s">
        <v>1439</v>
      </c>
      <c r="D9432" t="s">
        <v>6168</v>
      </c>
    </row>
    <row r="9433" spans="1:4">
      <c r="A9433" t="s">
        <v>14675</v>
      </c>
      <c r="B9433">
        <v>30142</v>
      </c>
      <c r="C9433" t="s">
        <v>11140</v>
      </c>
      <c r="D9433" t="s">
        <v>6168</v>
      </c>
    </row>
    <row r="9434" spans="1:4">
      <c r="A9434" t="s">
        <v>14676</v>
      </c>
      <c r="B9434">
        <v>24009</v>
      </c>
      <c r="C9434" t="s">
        <v>14677</v>
      </c>
      <c r="D9434" t="s">
        <v>6168</v>
      </c>
    </row>
    <row r="9435" spans="1:4">
      <c r="A9435" t="s">
        <v>14678</v>
      </c>
      <c r="B9435">
        <v>23611</v>
      </c>
      <c r="C9435" t="s">
        <v>6568</v>
      </c>
      <c r="D9435" t="s">
        <v>6168</v>
      </c>
    </row>
    <row r="9436" spans="1:4">
      <c r="A9436" t="s">
        <v>14679</v>
      </c>
      <c r="B9436">
        <v>25058</v>
      </c>
      <c r="C9436" t="s">
        <v>14680</v>
      </c>
      <c r="D9436" t="s">
        <v>6168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14681</v>
      </c>
      <c r="B9438">
        <v>979</v>
      </c>
      <c r="C9438" t="s">
        <v>14682</v>
      </c>
      <c r="D9438" t="s">
        <v>6168</v>
      </c>
    </row>
    <row r="9439" spans="1:4">
      <c r="A9439" t="s">
        <v>14683</v>
      </c>
      <c r="B9439">
        <v>19299</v>
      </c>
      <c r="C9439" t="s">
        <v>14684</v>
      </c>
      <c r="D9439" t="s">
        <v>6168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14685</v>
      </c>
      <c r="B9441">
        <v>9838</v>
      </c>
      <c r="C9441" t="s">
        <v>14686</v>
      </c>
      <c r="D9441" t="s">
        <v>6168</v>
      </c>
    </row>
    <row r="9442" spans="1:4">
      <c r="A9442" t="s">
        <v>14687</v>
      </c>
      <c r="B9442">
        <v>19319</v>
      </c>
      <c r="C9442" t="s">
        <v>14688</v>
      </c>
      <c r="D9442" t="s">
        <v>6168</v>
      </c>
    </row>
    <row r="9443" spans="1:4">
      <c r="A9443" t="s">
        <v>14689</v>
      </c>
      <c r="B9443">
        <v>9795</v>
      </c>
      <c r="C9443" t="s">
        <v>14690</v>
      </c>
      <c r="D9443" t="s">
        <v>6168</v>
      </c>
    </row>
    <row r="9444" spans="1:4">
      <c r="A9444" t="s">
        <v>14691</v>
      </c>
      <c r="B9444">
        <v>9837</v>
      </c>
      <c r="C9444" t="s">
        <v>14692</v>
      </c>
      <c r="D9444" t="s">
        <v>6168</v>
      </c>
    </row>
    <row r="9445" spans="1:4">
      <c r="A9445" t="s">
        <v>14693</v>
      </c>
      <c r="B9445">
        <v>2987</v>
      </c>
      <c r="C9445" t="s">
        <v>4912</v>
      </c>
      <c r="D9445" t="s">
        <v>6168</v>
      </c>
    </row>
    <row r="9446" spans="1:4">
      <c r="A9446" t="s">
        <v>14694</v>
      </c>
      <c r="B9446">
        <v>9835</v>
      </c>
      <c r="C9446" t="s">
        <v>14695</v>
      </c>
      <c r="D9446" t="s">
        <v>6168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14696</v>
      </c>
      <c r="B9448">
        <v>20481</v>
      </c>
      <c r="C9448" t="s">
        <v>14697</v>
      </c>
      <c r="D9448" t="s">
        <v>6168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14698</v>
      </c>
      <c r="B9450">
        <v>3047</v>
      </c>
      <c r="C9450" t="s">
        <v>14699</v>
      </c>
      <c r="D9450" t="s">
        <v>6168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14700</v>
      </c>
      <c r="B9453">
        <v>4353</v>
      </c>
      <c r="C9453" t="s">
        <v>6394</v>
      </c>
      <c r="D9453" t="s">
        <v>6168</v>
      </c>
    </row>
    <row r="9454" spans="1:4">
      <c r="A9454" t="s">
        <v>14701</v>
      </c>
      <c r="B9454">
        <v>34084</v>
      </c>
      <c r="C9454" t="s">
        <v>10196</v>
      </c>
      <c r="D9454" t="s">
        <v>6168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14702</v>
      </c>
      <c r="B9456">
        <v>26087</v>
      </c>
      <c r="C9456" t="s">
        <v>9805</v>
      </c>
      <c r="D9456" t="s">
        <v>6168</v>
      </c>
    </row>
    <row r="9457" spans="1:4">
      <c r="A9457" t="s">
        <v>14703</v>
      </c>
      <c r="B9457">
        <v>26086</v>
      </c>
      <c r="C9457" t="s">
        <v>8330</v>
      </c>
      <c r="D9457" t="s">
        <v>6168</v>
      </c>
    </row>
    <row r="9458" spans="1:4">
      <c r="A9458" t="s">
        <v>14704</v>
      </c>
      <c r="B9458">
        <v>30456</v>
      </c>
      <c r="C9458" t="s">
        <v>14705</v>
      </c>
      <c r="D9458" t="s">
        <v>6168</v>
      </c>
    </row>
    <row r="9459" spans="1:4">
      <c r="A9459" t="s">
        <v>14706</v>
      </c>
      <c r="B9459">
        <v>26085</v>
      </c>
      <c r="C9459" t="s">
        <v>12310</v>
      </c>
      <c r="D9459" t="s">
        <v>6168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14707</v>
      </c>
      <c r="B9461">
        <v>25227</v>
      </c>
      <c r="C9461" t="s">
        <v>2924</v>
      </c>
      <c r="D9461" t="s">
        <v>6168</v>
      </c>
    </row>
    <row r="9462" spans="1:4">
      <c r="A9462" t="s">
        <v>14708</v>
      </c>
      <c r="B9462">
        <v>30605</v>
      </c>
      <c r="C9462" t="s">
        <v>14709</v>
      </c>
      <c r="D9462" t="s">
        <v>6605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14710</v>
      </c>
      <c r="B9465">
        <v>30909</v>
      </c>
      <c r="C9465" t="s">
        <v>243</v>
      </c>
      <c r="D9465" t="s">
        <v>6168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14711</v>
      </c>
      <c r="B9468">
        <v>29479</v>
      </c>
      <c r="D9468" t="s">
        <v>6248</v>
      </c>
    </row>
    <row r="9469" spans="1:4">
      <c r="A9469" t="s">
        <v>14712</v>
      </c>
      <c r="B9469">
        <v>40453</v>
      </c>
      <c r="C9469" t="s">
        <v>14713</v>
      </c>
      <c r="D9469" t="s">
        <v>6168</v>
      </c>
    </row>
    <row r="9470" spans="1:4">
      <c r="A9470" t="s">
        <v>14714</v>
      </c>
      <c r="B9470">
        <v>29646</v>
      </c>
      <c r="C9470" t="s">
        <v>3130</v>
      </c>
      <c r="D9470" t="s">
        <v>6168</v>
      </c>
    </row>
    <row r="9471" spans="1:4">
      <c r="A9471" t="s">
        <v>14715</v>
      </c>
      <c r="B9471">
        <v>30502</v>
      </c>
      <c r="C9471" t="s">
        <v>14716</v>
      </c>
      <c r="D9471" t="s">
        <v>6168</v>
      </c>
    </row>
    <row r="9472" spans="1:4">
      <c r="A9472" t="s">
        <v>14717</v>
      </c>
      <c r="B9472">
        <v>23439</v>
      </c>
      <c r="C9472" t="s">
        <v>14718</v>
      </c>
      <c r="D9472" t="s">
        <v>6168</v>
      </c>
    </row>
    <row r="9473" spans="1:4">
      <c r="A9473" t="s">
        <v>14719</v>
      </c>
      <c r="B9473">
        <v>35252</v>
      </c>
      <c r="C9473" t="s">
        <v>7169</v>
      </c>
      <c r="D9473" t="s">
        <v>6168</v>
      </c>
    </row>
    <row r="9474" spans="1:4">
      <c r="A9474" t="s">
        <v>14720</v>
      </c>
      <c r="B9474">
        <v>24838</v>
      </c>
      <c r="C9474" t="s">
        <v>14713</v>
      </c>
      <c r="D9474" t="s">
        <v>6168</v>
      </c>
    </row>
    <row r="9475" spans="1:4">
      <c r="A9475" t="s">
        <v>14721</v>
      </c>
      <c r="B9475">
        <v>23440</v>
      </c>
      <c r="C9475" t="s">
        <v>14722</v>
      </c>
      <c r="D9475" t="s">
        <v>6168</v>
      </c>
    </row>
    <row r="9476" spans="1:4">
      <c r="A9476" t="s">
        <v>14723</v>
      </c>
      <c r="B9476">
        <v>23441</v>
      </c>
      <c r="C9476" t="s">
        <v>13249</v>
      </c>
      <c r="D9476" t="s">
        <v>6168</v>
      </c>
    </row>
    <row r="9477" spans="1:4">
      <c r="A9477" t="s">
        <v>14724</v>
      </c>
      <c r="B9477">
        <v>26084</v>
      </c>
      <c r="C9477" t="s">
        <v>14725</v>
      </c>
      <c r="D9477" t="s">
        <v>6168</v>
      </c>
    </row>
    <row r="9478" spans="1:4">
      <c r="A9478" t="s">
        <v>14726</v>
      </c>
      <c r="B9478">
        <v>31288</v>
      </c>
      <c r="C9478" t="s">
        <v>14727</v>
      </c>
      <c r="D9478" t="s">
        <v>6168</v>
      </c>
    </row>
    <row r="9479" spans="1:4">
      <c r="A9479" t="s">
        <v>14728</v>
      </c>
      <c r="B9479">
        <v>29645</v>
      </c>
      <c r="C9479" t="s">
        <v>3130</v>
      </c>
      <c r="D9479" t="s">
        <v>6168</v>
      </c>
    </row>
    <row r="9480" spans="1:4">
      <c r="A9480" t="s">
        <v>14729</v>
      </c>
      <c r="B9480">
        <v>31052</v>
      </c>
      <c r="C9480" t="s">
        <v>7169</v>
      </c>
      <c r="D9480" t="s">
        <v>6168</v>
      </c>
    </row>
    <row r="9481" spans="1:4">
      <c r="A9481" t="s">
        <v>17335</v>
      </c>
      <c r="B9481">
        <v>45416</v>
      </c>
      <c r="C9481" t="s">
        <v>10715</v>
      </c>
      <c r="D9481" t="s">
        <v>6168</v>
      </c>
    </row>
    <row r="9482" spans="1:4">
      <c r="A9482" t="s">
        <v>14730</v>
      </c>
      <c r="B9482">
        <v>29392</v>
      </c>
      <c r="C9482" t="s">
        <v>626</v>
      </c>
      <c r="D9482" t="s">
        <v>6168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14731</v>
      </c>
      <c r="B9484">
        <v>9839</v>
      </c>
      <c r="C9484" t="s">
        <v>14732</v>
      </c>
      <c r="D9484" t="s">
        <v>6168</v>
      </c>
    </row>
    <row r="9485" spans="1:4">
      <c r="A9485" t="s">
        <v>14733</v>
      </c>
      <c r="B9485">
        <v>20711</v>
      </c>
      <c r="C9485" t="s">
        <v>14734</v>
      </c>
      <c r="D9485" t="s">
        <v>10633</v>
      </c>
    </row>
    <row r="9486" spans="1:4">
      <c r="A9486" t="s">
        <v>14735</v>
      </c>
      <c r="B9486">
        <v>20517</v>
      </c>
      <c r="C9486" t="s">
        <v>12897</v>
      </c>
      <c r="D9486" t="s">
        <v>6449</v>
      </c>
    </row>
    <row r="9487" spans="1:4">
      <c r="A9487" t="s">
        <v>14736</v>
      </c>
      <c r="B9487">
        <v>20565</v>
      </c>
      <c r="C9487" t="s">
        <v>12889</v>
      </c>
      <c r="D9487" t="s">
        <v>6168</v>
      </c>
    </row>
    <row r="9488" spans="1:4">
      <c r="A9488" t="s">
        <v>14737</v>
      </c>
      <c r="B9488">
        <v>31058</v>
      </c>
      <c r="C9488" t="s">
        <v>14738</v>
      </c>
      <c r="D9488" t="s">
        <v>6168</v>
      </c>
    </row>
    <row r="9489" spans="1:4">
      <c r="A9489" t="s">
        <v>14739</v>
      </c>
      <c r="B9489">
        <v>2999</v>
      </c>
      <c r="C9489" t="s">
        <v>2061</v>
      </c>
      <c r="D9489" t="s">
        <v>6168</v>
      </c>
    </row>
    <row r="9490" spans="1:4">
      <c r="A9490" t="s">
        <v>14740</v>
      </c>
      <c r="B9490">
        <v>20350</v>
      </c>
      <c r="C9490" t="s">
        <v>14741</v>
      </c>
      <c r="D9490" t="s">
        <v>6168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14742</v>
      </c>
      <c r="B9492">
        <v>20586</v>
      </c>
      <c r="C9492" t="s">
        <v>14743</v>
      </c>
      <c r="D9492" t="s">
        <v>6168</v>
      </c>
    </row>
    <row r="9493" spans="1:4">
      <c r="A9493" t="s">
        <v>14744</v>
      </c>
      <c r="B9493">
        <v>20587</v>
      </c>
      <c r="C9493" t="s">
        <v>14745</v>
      </c>
      <c r="D9493" t="s">
        <v>6168</v>
      </c>
    </row>
    <row r="9494" spans="1:4">
      <c r="A9494" t="s">
        <v>14746</v>
      </c>
      <c r="B9494">
        <v>20588</v>
      </c>
      <c r="C9494" t="s">
        <v>14747</v>
      </c>
      <c r="D9494" t="s">
        <v>6168</v>
      </c>
    </row>
    <row r="9495" spans="1:4">
      <c r="A9495" t="s">
        <v>14748</v>
      </c>
      <c r="B9495">
        <v>25930</v>
      </c>
      <c r="D9495" t="s">
        <v>6168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14749</v>
      </c>
      <c r="B9497">
        <v>884</v>
      </c>
      <c r="C9497" t="s">
        <v>14750</v>
      </c>
      <c r="D9497" t="s">
        <v>6168</v>
      </c>
    </row>
    <row r="9498" spans="1:4">
      <c r="A9498" t="s">
        <v>14751</v>
      </c>
      <c r="B9498">
        <v>885</v>
      </c>
      <c r="C9498" t="s">
        <v>14752</v>
      </c>
      <c r="D9498" t="s">
        <v>6168</v>
      </c>
    </row>
    <row r="9499" spans="1:4">
      <c r="A9499" t="s">
        <v>14753</v>
      </c>
      <c r="B9499">
        <v>886</v>
      </c>
      <c r="C9499" t="s">
        <v>14754</v>
      </c>
      <c r="D9499" t="s">
        <v>6168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14755</v>
      </c>
      <c r="B9501">
        <v>4500</v>
      </c>
      <c r="C9501" t="s">
        <v>9220</v>
      </c>
      <c r="D9501" t="s">
        <v>6168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14756</v>
      </c>
      <c r="B9503">
        <v>23280</v>
      </c>
      <c r="C9503" t="s">
        <v>8593</v>
      </c>
      <c r="D9503" t="s">
        <v>6230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14757</v>
      </c>
      <c r="B9505">
        <v>2973</v>
      </c>
      <c r="D9505" t="s">
        <v>6168</v>
      </c>
    </row>
    <row r="9506" spans="1:4">
      <c r="A9506" t="s">
        <v>14758</v>
      </c>
      <c r="B9506">
        <v>2028</v>
      </c>
      <c r="C9506" t="s">
        <v>14759</v>
      </c>
      <c r="D9506" t="s">
        <v>6168</v>
      </c>
    </row>
    <row r="9507" spans="1:4">
      <c r="A9507" t="s">
        <v>17491</v>
      </c>
      <c r="B9507">
        <v>45877</v>
      </c>
      <c r="C9507" t="s">
        <v>13578</v>
      </c>
      <c r="D9507" t="s">
        <v>6168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14760</v>
      </c>
      <c r="B9509">
        <v>35715</v>
      </c>
      <c r="C9509" t="s">
        <v>3253</v>
      </c>
      <c r="D9509" t="s">
        <v>6168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14761</v>
      </c>
      <c r="B9511">
        <v>29371</v>
      </c>
      <c r="C9511" t="s">
        <v>2918</v>
      </c>
      <c r="D9511" t="s">
        <v>6168</v>
      </c>
    </row>
    <row r="9512" spans="1:4">
      <c r="A9512" t="s">
        <v>14762</v>
      </c>
      <c r="B9512">
        <v>34085</v>
      </c>
      <c r="C9512" t="s">
        <v>14763</v>
      </c>
      <c r="D9512" t="s">
        <v>6168</v>
      </c>
    </row>
    <row r="9513" spans="1:4">
      <c r="A9513" t="s">
        <v>17535</v>
      </c>
      <c r="B9513">
        <v>45954</v>
      </c>
      <c r="C9513" t="s">
        <v>1294</v>
      </c>
      <c r="D9513" t="s">
        <v>6168</v>
      </c>
    </row>
    <row r="9514" spans="1:4">
      <c r="A9514" t="s">
        <v>17555</v>
      </c>
      <c r="B9514">
        <v>45992</v>
      </c>
      <c r="C9514" t="s">
        <v>9798</v>
      </c>
      <c r="D9514" t="s">
        <v>123</v>
      </c>
    </row>
    <row r="9515" spans="1:4">
      <c r="A9515" t="s">
        <v>17578</v>
      </c>
      <c r="B9515">
        <v>46848</v>
      </c>
      <c r="C9515" t="s">
        <v>17579</v>
      </c>
      <c r="D9515" t="s">
        <v>6168</v>
      </c>
    </row>
    <row r="9516" spans="1:4">
      <c r="A9516" t="s">
        <v>14764</v>
      </c>
      <c r="B9516">
        <v>39834</v>
      </c>
      <c r="C9516" t="s">
        <v>14765</v>
      </c>
      <c r="D9516" t="s">
        <v>6305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14766</v>
      </c>
      <c r="B9518">
        <v>3894</v>
      </c>
      <c r="C9518" t="s">
        <v>14767</v>
      </c>
      <c r="D9518" t="s">
        <v>6168</v>
      </c>
    </row>
    <row r="9519" spans="1:4">
      <c r="A9519" t="s">
        <v>14768</v>
      </c>
      <c r="B9519">
        <v>3890</v>
      </c>
      <c r="C9519" t="s">
        <v>409</v>
      </c>
      <c r="D9519" t="s">
        <v>6168</v>
      </c>
    </row>
    <row r="9520" spans="1:4">
      <c r="A9520" t="s">
        <v>14769</v>
      </c>
      <c r="B9520">
        <v>3891</v>
      </c>
      <c r="C9520" t="s">
        <v>4519</v>
      </c>
      <c r="D9520" t="s">
        <v>6168</v>
      </c>
    </row>
    <row r="9521" spans="1:4">
      <c r="A9521" t="s">
        <v>14770</v>
      </c>
      <c r="B9521">
        <v>23907</v>
      </c>
      <c r="C9521" t="s">
        <v>14771</v>
      </c>
      <c r="D9521" t="s">
        <v>6449</v>
      </c>
    </row>
    <row r="9522" spans="1:4">
      <c r="A9522" t="s">
        <v>14772</v>
      </c>
      <c r="B9522">
        <v>31287</v>
      </c>
      <c r="C9522" t="s">
        <v>11269</v>
      </c>
      <c r="D9522" t="s">
        <v>6449</v>
      </c>
    </row>
    <row r="9523" spans="1:4">
      <c r="A9523" t="s">
        <v>14773</v>
      </c>
      <c r="B9523">
        <v>3897</v>
      </c>
      <c r="C9523" t="s">
        <v>14767</v>
      </c>
      <c r="D9523" t="s">
        <v>6168</v>
      </c>
    </row>
    <row r="9524" spans="1:4">
      <c r="A9524" t="s">
        <v>14774</v>
      </c>
      <c r="B9524">
        <v>3898</v>
      </c>
      <c r="C9524" t="s">
        <v>14775</v>
      </c>
      <c r="D9524" t="s">
        <v>6168</v>
      </c>
    </row>
    <row r="9525" spans="1:4">
      <c r="A9525" t="s">
        <v>14776</v>
      </c>
      <c r="B9525">
        <v>3899</v>
      </c>
      <c r="C9525" t="s">
        <v>14777</v>
      </c>
      <c r="D9525" t="s">
        <v>6168</v>
      </c>
    </row>
    <row r="9526" spans="1:4">
      <c r="A9526" t="s">
        <v>14778</v>
      </c>
      <c r="B9526">
        <v>3895</v>
      </c>
      <c r="C9526" t="s">
        <v>14767</v>
      </c>
      <c r="D9526" t="s">
        <v>6168</v>
      </c>
    </row>
    <row r="9527" spans="1:4">
      <c r="A9527" t="s">
        <v>14779</v>
      </c>
      <c r="B9527">
        <v>3892</v>
      </c>
      <c r="C9527" t="s">
        <v>14780</v>
      </c>
      <c r="D9527" t="s">
        <v>6168</v>
      </c>
    </row>
    <row r="9528" spans="1:4">
      <c r="A9528" t="s">
        <v>14781</v>
      </c>
      <c r="B9528">
        <v>31286</v>
      </c>
      <c r="C9528" t="s">
        <v>14782</v>
      </c>
      <c r="D9528" t="s">
        <v>6449</v>
      </c>
    </row>
    <row r="9529" spans="1:4">
      <c r="A9529" t="s">
        <v>14783</v>
      </c>
      <c r="B9529">
        <v>3893</v>
      </c>
      <c r="C9529" t="s">
        <v>14784</v>
      </c>
      <c r="D9529" t="s">
        <v>6168</v>
      </c>
    </row>
    <row r="9530" spans="1:4">
      <c r="A9530" t="s">
        <v>14785</v>
      </c>
      <c r="B9530">
        <v>31285</v>
      </c>
      <c r="C9530" t="s">
        <v>14784</v>
      </c>
      <c r="D9530" t="s">
        <v>6449</v>
      </c>
    </row>
    <row r="9531" spans="1:4">
      <c r="A9531" t="s">
        <v>14786</v>
      </c>
      <c r="B9531">
        <v>39612</v>
      </c>
      <c r="C9531" t="s">
        <v>14784</v>
      </c>
      <c r="D9531" t="s">
        <v>6449</v>
      </c>
    </row>
    <row r="9532" spans="1:4">
      <c r="A9532" t="s">
        <v>14787</v>
      </c>
      <c r="B9532">
        <v>30492</v>
      </c>
      <c r="C9532" t="s">
        <v>14775</v>
      </c>
      <c r="D9532" t="s">
        <v>6168</v>
      </c>
    </row>
    <row r="9533" spans="1:4">
      <c r="A9533" t="s">
        <v>14788</v>
      </c>
      <c r="B9533">
        <v>3900</v>
      </c>
      <c r="C9533" t="s">
        <v>14789</v>
      </c>
      <c r="D9533" t="s">
        <v>6168</v>
      </c>
    </row>
    <row r="9534" spans="1:4">
      <c r="A9534" t="s">
        <v>14790</v>
      </c>
      <c r="B9534">
        <v>3896</v>
      </c>
      <c r="C9534" t="s">
        <v>14767</v>
      </c>
      <c r="D9534" t="s">
        <v>6168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14791</v>
      </c>
      <c r="B9536">
        <v>23337</v>
      </c>
      <c r="C9536" t="s">
        <v>2333</v>
      </c>
      <c r="D9536" t="s">
        <v>6314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14792</v>
      </c>
      <c r="B9538">
        <v>37640</v>
      </c>
      <c r="C9538" t="s">
        <v>14793</v>
      </c>
      <c r="D9538" t="s">
        <v>6168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14794</v>
      </c>
      <c r="B9541">
        <v>29856</v>
      </c>
      <c r="C9541" t="s">
        <v>14594</v>
      </c>
      <c r="D9541" t="s">
        <v>6168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14795</v>
      </c>
      <c r="B9543">
        <v>39710</v>
      </c>
      <c r="C9543" t="s">
        <v>14796</v>
      </c>
      <c r="D9543" t="s">
        <v>6168</v>
      </c>
    </row>
    <row r="9544" spans="1:4">
      <c r="A9544" t="s">
        <v>14797</v>
      </c>
      <c r="B9544">
        <v>29302</v>
      </c>
      <c r="C9544" t="s">
        <v>14798</v>
      </c>
      <c r="D9544" t="s">
        <v>6168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14799</v>
      </c>
      <c r="B9546">
        <v>391</v>
      </c>
      <c r="C9546" t="s">
        <v>7461</v>
      </c>
      <c r="D9546" t="s">
        <v>6168</v>
      </c>
    </row>
    <row r="9547" spans="1:4">
      <c r="A9547" t="s">
        <v>14800</v>
      </c>
      <c r="B9547">
        <v>43633</v>
      </c>
      <c r="C9547" t="s">
        <v>14801</v>
      </c>
      <c r="D9547" t="s">
        <v>6168</v>
      </c>
    </row>
    <row r="9548" spans="1:4">
      <c r="A9548" t="s">
        <v>14802</v>
      </c>
      <c r="B9548">
        <v>392</v>
      </c>
      <c r="C9548" t="s">
        <v>7482</v>
      </c>
      <c r="D9548" t="s">
        <v>6168</v>
      </c>
    </row>
    <row r="9549" spans="1:4">
      <c r="A9549" t="s">
        <v>14803</v>
      </c>
      <c r="B9549">
        <v>29153</v>
      </c>
      <c r="C9549" t="s">
        <v>7451</v>
      </c>
      <c r="D9549" t="s">
        <v>6168</v>
      </c>
    </row>
    <row r="9550" spans="1:4">
      <c r="A9550" t="s">
        <v>14804</v>
      </c>
      <c r="B9550">
        <v>31037</v>
      </c>
      <c r="C9550" t="s">
        <v>8148</v>
      </c>
      <c r="D9550" t="s">
        <v>6168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14805</v>
      </c>
      <c r="B9552">
        <v>24839</v>
      </c>
      <c r="C9552" t="s">
        <v>14806</v>
      </c>
      <c r="D9552" t="s">
        <v>6168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14807</v>
      </c>
      <c r="B9555">
        <v>19143</v>
      </c>
      <c r="D9555" t="s">
        <v>6267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14808</v>
      </c>
      <c r="B9557">
        <v>22629</v>
      </c>
      <c r="C9557" t="s">
        <v>14809</v>
      </c>
      <c r="D9557" t="s">
        <v>6168</v>
      </c>
    </row>
    <row r="9558" spans="1:4">
      <c r="A9558" t="s">
        <v>14810</v>
      </c>
      <c r="B9558">
        <v>22630</v>
      </c>
      <c r="C9558" t="s">
        <v>829</v>
      </c>
      <c r="D9558" t="s">
        <v>6168</v>
      </c>
    </row>
    <row r="9559" spans="1:4">
      <c r="A9559" t="s">
        <v>14811</v>
      </c>
      <c r="B9559">
        <v>22631</v>
      </c>
      <c r="C9559" t="s">
        <v>829</v>
      </c>
      <c r="D9559" t="s">
        <v>6168</v>
      </c>
    </row>
    <row r="9560" spans="1:4">
      <c r="A9560" t="s">
        <v>14812</v>
      </c>
      <c r="B9560">
        <v>22632</v>
      </c>
      <c r="C9560" t="s">
        <v>14809</v>
      </c>
      <c r="D9560" t="s">
        <v>6168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14813</v>
      </c>
      <c r="B9564">
        <v>2985</v>
      </c>
      <c r="C9564" t="s">
        <v>14814</v>
      </c>
      <c r="D9564" t="s">
        <v>6168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14815</v>
      </c>
      <c r="B9567">
        <v>31824</v>
      </c>
      <c r="C9567" t="s">
        <v>6194</v>
      </c>
      <c r="D9567" t="s">
        <v>6168</v>
      </c>
    </row>
    <row r="9568" spans="1:4">
      <c r="A9568" t="s">
        <v>14816</v>
      </c>
      <c r="B9568">
        <v>39568</v>
      </c>
      <c r="C9568" t="s">
        <v>14817</v>
      </c>
      <c r="D9568" t="s">
        <v>6267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14818</v>
      </c>
      <c r="B9570">
        <v>25384</v>
      </c>
      <c r="C9570" t="s">
        <v>14819</v>
      </c>
      <c r="D9570" t="s">
        <v>6168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14820</v>
      </c>
      <c r="B9572">
        <v>185</v>
      </c>
      <c r="D9572" t="s">
        <v>6248</v>
      </c>
    </row>
    <row r="9573" spans="1:4">
      <c r="A9573" t="s">
        <v>14821</v>
      </c>
      <c r="B9573">
        <v>20559</v>
      </c>
      <c r="D9573" t="s">
        <v>6267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14822</v>
      </c>
      <c r="B9576">
        <v>4096</v>
      </c>
      <c r="C9576" t="s">
        <v>14823</v>
      </c>
      <c r="D9576" t="s">
        <v>6241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14824</v>
      </c>
      <c r="B9578">
        <v>472</v>
      </c>
      <c r="C9578" t="s">
        <v>14825</v>
      </c>
      <c r="D9578" t="s">
        <v>6168</v>
      </c>
    </row>
    <row r="9579" spans="1:4">
      <c r="A9579" t="s">
        <v>14826</v>
      </c>
      <c r="B9579">
        <v>31678</v>
      </c>
      <c r="C9579" t="s">
        <v>14827</v>
      </c>
      <c r="D9579" t="s">
        <v>6168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14828</v>
      </c>
      <c r="B9582">
        <v>35433</v>
      </c>
      <c r="C9582" t="s">
        <v>14829</v>
      </c>
      <c r="D9582" t="s">
        <v>6168</v>
      </c>
    </row>
    <row r="9583" spans="1:4">
      <c r="A9583" t="s">
        <v>14830</v>
      </c>
      <c r="B9583">
        <v>43122</v>
      </c>
      <c r="C9583" t="s">
        <v>14831</v>
      </c>
      <c r="D9583" t="s">
        <v>6168</v>
      </c>
    </row>
    <row r="9584" spans="1:4">
      <c r="A9584" t="s">
        <v>14832</v>
      </c>
      <c r="B9584">
        <v>39826</v>
      </c>
      <c r="C9584" t="s">
        <v>14833</v>
      </c>
      <c r="D9584" t="s">
        <v>6168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14834</v>
      </c>
      <c r="B9586">
        <v>30759</v>
      </c>
      <c r="C9586" t="s">
        <v>14835</v>
      </c>
      <c r="D9586" t="s">
        <v>6168</v>
      </c>
    </row>
    <row r="9587" spans="1:4">
      <c r="A9587" t="s">
        <v>14836</v>
      </c>
      <c r="B9587">
        <v>41747</v>
      </c>
      <c r="D9587" t="s">
        <v>6230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14837</v>
      </c>
      <c r="B9589">
        <v>4224</v>
      </c>
      <c r="C9589" t="s">
        <v>14838</v>
      </c>
      <c r="D9589" t="s">
        <v>6168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14839</v>
      </c>
      <c r="B9591">
        <v>30657</v>
      </c>
      <c r="C9591" t="s">
        <v>4199</v>
      </c>
      <c r="D9591" t="s">
        <v>6168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14840</v>
      </c>
      <c r="B9593">
        <v>22634</v>
      </c>
      <c r="C9593" t="s">
        <v>9881</v>
      </c>
      <c r="D9593" t="s">
        <v>6241</v>
      </c>
    </row>
    <row r="9594" spans="1:4">
      <c r="A9594" t="s">
        <v>14841</v>
      </c>
      <c r="B9594">
        <v>22635</v>
      </c>
      <c r="C9594" t="s">
        <v>512</v>
      </c>
      <c r="D9594" t="s">
        <v>6267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14842</v>
      </c>
      <c r="B9596">
        <v>35666</v>
      </c>
      <c r="C9596" t="s">
        <v>14843</v>
      </c>
      <c r="D9596" t="s">
        <v>6168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14844</v>
      </c>
      <c r="B9598">
        <v>34086</v>
      </c>
      <c r="D9598" t="s">
        <v>6168</v>
      </c>
    </row>
    <row r="9599" spans="1:4">
      <c r="A9599" t="s">
        <v>14845</v>
      </c>
      <c r="B9599">
        <v>25229</v>
      </c>
      <c r="C9599" t="s">
        <v>3203</v>
      </c>
      <c r="D9599" t="s">
        <v>6168</v>
      </c>
    </row>
    <row r="9600" spans="1:4">
      <c r="A9600" t="s">
        <v>14846</v>
      </c>
      <c r="B9600">
        <v>25230</v>
      </c>
      <c r="C9600" t="s">
        <v>11947</v>
      </c>
      <c r="D9600" t="s">
        <v>6168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14847</v>
      </c>
      <c r="B9604">
        <v>29490</v>
      </c>
      <c r="C9604" t="s">
        <v>14848</v>
      </c>
      <c r="D9604" t="s">
        <v>6168</v>
      </c>
    </row>
    <row r="9605" spans="1:4">
      <c r="A9605" t="s">
        <v>14849</v>
      </c>
      <c r="B9605">
        <v>35059</v>
      </c>
      <c r="C9605" t="s">
        <v>5743</v>
      </c>
      <c r="D9605" t="s">
        <v>6267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14850</v>
      </c>
      <c r="B9607">
        <v>30419</v>
      </c>
      <c r="C9607" t="s">
        <v>14851</v>
      </c>
      <c r="D9607" t="s">
        <v>6168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14852</v>
      </c>
      <c r="B9609">
        <v>47</v>
      </c>
      <c r="C9609" t="s">
        <v>14853</v>
      </c>
      <c r="D9609" t="s">
        <v>6168</v>
      </c>
    </row>
    <row r="9610" spans="1:4">
      <c r="A9610" t="s">
        <v>14854</v>
      </c>
      <c r="B9610">
        <v>48</v>
      </c>
      <c r="C9610" t="s">
        <v>14855</v>
      </c>
      <c r="D9610" t="s">
        <v>6168</v>
      </c>
    </row>
    <row r="9611" spans="1:4">
      <c r="A9611" t="s">
        <v>14856</v>
      </c>
      <c r="B9611">
        <v>49</v>
      </c>
      <c r="C9611" t="s">
        <v>14857</v>
      </c>
      <c r="D9611" t="s">
        <v>6168</v>
      </c>
    </row>
    <row r="9612" spans="1:4">
      <c r="A9612" t="s">
        <v>14858</v>
      </c>
      <c r="B9612">
        <v>50</v>
      </c>
      <c r="C9612" t="s">
        <v>14859</v>
      </c>
      <c r="D9612" t="s">
        <v>6168</v>
      </c>
    </row>
    <row r="9613" spans="1:4">
      <c r="A9613" t="s">
        <v>14860</v>
      </c>
      <c r="B9613">
        <v>51</v>
      </c>
      <c r="C9613" t="s">
        <v>14861</v>
      </c>
      <c r="D9613" t="s">
        <v>6168</v>
      </c>
    </row>
    <row r="9614" spans="1:4">
      <c r="A9614" t="s">
        <v>14862</v>
      </c>
      <c r="B9614">
        <v>52</v>
      </c>
      <c r="C9614" t="s">
        <v>6705</v>
      </c>
      <c r="D9614" t="s">
        <v>6168</v>
      </c>
    </row>
    <row r="9615" spans="1:4">
      <c r="A9615" t="s">
        <v>14863</v>
      </c>
      <c r="B9615">
        <v>53</v>
      </c>
      <c r="C9615" t="s">
        <v>14864</v>
      </c>
      <c r="D9615" t="s">
        <v>6168</v>
      </c>
    </row>
    <row r="9616" spans="1:4">
      <c r="A9616" t="s">
        <v>14865</v>
      </c>
      <c r="B9616">
        <v>54</v>
      </c>
      <c r="C9616" t="s">
        <v>8366</v>
      </c>
      <c r="D9616" t="s">
        <v>6168</v>
      </c>
    </row>
    <row r="9617" spans="1:4">
      <c r="A9617" t="s">
        <v>14866</v>
      </c>
      <c r="B9617">
        <v>55</v>
      </c>
      <c r="C9617" t="s">
        <v>6705</v>
      </c>
      <c r="D9617" t="s">
        <v>6168</v>
      </c>
    </row>
    <row r="9618" spans="1:4">
      <c r="A9618" t="s">
        <v>14867</v>
      </c>
      <c r="B9618">
        <v>56</v>
      </c>
      <c r="C9618" t="s">
        <v>14868</v>
      </c>
      <c r="D9618" t="s">
        <v>6168</v>
      </c>
    </row>
    <row r="9619" spans="1:4">
      <c r="A9619" t="s">
        <v>14869</v>
      </c>
      <c r="B9619">
        <v>57</v>
      </c>
      <c r="C9619" t="s">
        <v>7589</v>
      </c>
      <c r="D9619" t="s">
        <v>6168</v>
      </c>
    </row>
    <row r="9620" spans="1:4">
      <c r="A9620" t="s">
        <v>14870</v>
      </c>
      <c r="B9620">
        <v>58</v>
      </c>
      <c r="C9620" t="s">
        <v>6705</v>
      </c>
      <c r="D9620" t="s">
        <v>6168</v>
      </c>
    </row>
    <row r="9621" spans="1:4">
      <c r="A9621" t="s">
        <v>14871</v>
      </c>
      <c r="B9621">
        <v>59</v>
      </c>
      <c r="C9621" t="s">
        <v>14872</v>
      </c>
      <c r="D9621" t="s">
        <v>6168</v>
      </c>
    </row>
    <row r="9622" spans="1:4">
      <c r="A9622" t="s">
        <v>14873</v>
      </c>
      <c r="B9622">
        <v>60</v>
      </c>
      <c r="C9622" t="s">
        <v>6703</v>
      </c>
      <c r="D9622" t="s">
        <v>6168</v>
      </c>
    </row>
    <row r="9623" spans="1:4">
      <c r="A9623" t="s">
        <v>14874</v>
      </c>
      <c r="B9623">
        <v>61</v>
      </c>
      <c r="C9623" t="s">
        <v>1475</v>
      </c>
      <c r="D9623" t="s">
        <v>6168</v>
      </c>
    </row>
    <row r="9624" spans="1:4">
      <c r="A9624" t="s">
        <v>14875</v>
      </c>
      <c r="B9624">
        <v>62</v>
      </c>
      <c r="C9624" t="s">
        <v>14876</v>
      </c>
      <c r="D9624" t="s">
        <v>6168</v>
      </c>
    </row>
    <row r="9625" spans="1:4">
      <c r="A9625" t="s">
        <v>14877</v>
      </c>
      <c r="B9625">
        <v>63</v>
      </c>
      <c r="C9625" t="s">
        <v>14859</v>
      </c>
      <c r="D9625" t="s">
        <v>6168</v>
      </c>
    </row>
    <row r="9626" spans="1:4">
      <c r="A9626" t="s">
        <v>14878</v>
      </c>
      <c r="B9626">
        <v>64</v>
      </c>
      <c r="C9626" t="s">
        <v>14855</v>
      </c>
      <c r="D9626" t="s">
        <v>6168</v>
      </c>
    </row>
    <row r="9627" spans="1:4">
      <c r="A9627" t="s">
        <v>14879</v>
      </c>
      <c r="B9627">
        <v>65</v>
      </c>
      <c r="C9627" t="s">
        <v>14880</v>
      </c>
      <c r="D9627" t="s">
        <v>6168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14881</v>
      </c>
      <c r="B9629">
        <v>22636</v>
      </c>
      <c r="C9629" t="s">
        <v>14882</v>
      </c>
      <c r="D9629" t="s">
        <v>6168</v>
      </c>
    </row>
    <row r="9630" spans="1:4">
      <c r="A9630" t="s">
        <v>14883</v>
      </c>
      <c r="B9630">
        <v>22637</v>
      </c>
      <c r="C9630" t="s">
        <v>14884</v>
      </c>
      <c r="D9630" t="s">
        <v>6168</v>
      </c>
    </row>
    <row r="9631" spans="1:4">
      <c r="A9631" t="s">
        <v>14885</v>
      </c>
      <c r="B9631">
        <v>22638</v>
      </c>
      <c r="C9631" t="s">
        <v>13080</v>
      </c>
      <c r="D9631" t="s">
        <v>6168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14886</v>
      </c>
      <c r="B9634">
        <v>23058</v>
      </c>
      <c r="C9634" t="s">
        <v>14887</v>
      </c>
      <c r="D9634" t="s">
        <v>6267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14888</v>
      </c>
      <c r="B9636">
        <v>29685</v>
      </c>
      <c r="C9636" t="s">
        <v>14889</v>
      </c>
      <c r="D9636" t="s">
        <v>6168</v>
      </c>
    </row>
    <row r="9637" spans="1:4">
      <c r="A9637" t="s">
        <v>14890</v>
      </c>
      <c r="B9637">
        <v>30491</v>
      </c>
      <c r="C9637" t="s">
        <v>14891</v>
      </c>
      <c r="D9637" t="s">
        <v>6168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14892</v>
      </c>
      <c r="B9639">
        <v>22642</v>
      </c>
      <c r="C9639" t="s">
        <v>1079</v>
      </c>
      <c r="D9639" t="s">
        <v>6168</v>
      </c>
    </row>
    <row r="9640" spans="1:4">
      <c r="A9640" t="s">
        <v>17556</v>
      </c>
      <c r="B9640">
        <v>45993</v>
      </c>
      <c r="C9640" t="s">
        <v>1143</v>
      </c>
      <c r="D9640" t="s">
        <v>123</v>
      </c>
    </row>
    <row r="9641" spans="1:4">
      <c r="A9641" t="s">
        <v>17580</v>
      </c>
      <c r="B9641">
        <v>46849</v>
      </c>
      <c r="C9641" t="s">
        <v>6194</v>
      </c>
      <c r="D9641" t="s">
        <v>6168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14893</v>
      </c>
      <c r="B9643">
        <v>22644</v>
      </c>
      <c r="C9643" t="s">
        <v>7145</v>
      </c>
      <c r="D9643" t="s">
        <v>6168</v>
      </c>
    </row>
    <row r="9644" spans="1:4">
      <c r="A9644" t="s">
        <v>14894</v>
      </c>
      <c r="B9644">
        <v>22645</v>
      </c>
      <c r="C9644" t="s">
        <v>6558</v>
      </c>
      <c r="D9644" t="s">
        <v>6168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14895</v>
      </c>
      <c r="B9646">
        <v>42228</v>
      </c>
      <c r="C9646" t="s">
        <v>14896</v>
      </c>
      <c r="D9646" t="s">
        <v>6168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14897</v>
      </c>
      <c r="B9649">
        <v>35437</v>
      </c>
      <c r="C9649" t="s">
        <v>14898</v>
      </c>
      <c r="D9649" t="s">
        <v>6168</v>
      </c>
    </row>
    <row r="9650" spans="1:4">
      <c r="A9650" t="s">
        <v>14899</v>
      </c>
      <c r="B9650">
        <v>30597</v>
      </c>
      <c r="D9650" t="s">
        <v>6305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14900</v>
      </c>
      <c r="B9652">
        <v>4551</v>
      </c>
      <c r="C9652" t="s">
        <v>14901</v>
      </c>
      <c r="D9652" t="s">
        <v>6168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14902</v>
      </c>
      <c r="B9655">
        <v>36136</v>
      </c>
      <c r="C9655" t="s">
        <v>10831</v>
      </c>
      <c r="D9655" t="s">
        <v>6168</v>
      </c>
    </row>
    <row r="9656" spans="1:4">
      <c r="A9656" t="s">
        <v>14903</v>
      </c>
      <c r="B9656">
        <v>36135</v>
      </c>
      <c r="C9656" t="s">
        <v>14904</v>
      </c>
      <c r="D9656" t="s">
        <v>6168</v>
      </c>
    </row>
    <row r="9657" spans="1:4">
      <c r="A9657" t="s">
        <v>14905</v>
      </c>
      <c r="B9657">
        <v>41252</v>
      </c>
      <c r="C9657" t="s">
        <v>14906</v>
      </c>
      <c r="D9657" t="s">
        <v>6168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14907</v>
      </c>
      <c r="B9659">
        <v>33969</v>
      </c>
      <c r="D9659" t="s">
        <v>6245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14908</v>
      </c>
      <c r="B9661">
        <v>25385</v>
      </c>
      <c r="C9661" t="s">
        <v>6491</v>
      </c>
      <c r="D9661" t="s">
        <v>6168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14909</v>
      </c>
      <c r="B9663">
        <v>2988</v>
      </c>
      <c r="D9663" t="s">
        <v>6168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14910</v>
      </c>
      <c r="B9665">
        <v>20394</v>
      </c>
      <c r="C9665" t="s">
        <v>14911</v>
      </c>
      <c r="D9665" t="s">
        <v>6168</v>
      </c>
    </row>
    <row r="9666" spans="1:4">
      <c r="A9666" t="s">
        <v>14912</v>
      </c>
      <c r="B9666">
        <v>20395</v>
      </c>
      <c r="C9666" t="s">
        <v>14913</v>
      </c>
      <c r="D9666" t="s">
        <v>6168</v>
      </c>
    </row>
    <row r="9667" spans="1:4">
      <c r="A9667" t="s">
        <v>14914</v>
      </c>
      <c r="B9667">
        <v>20346</v>
      </c>
      <c r="C9667" t="s">
        <v>14915</v>
      </c>
      <c r="D9667" t="s">
        <v>6168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14916</v>
      </c>
      <c r="B9669">
        <v>29843</v>
      </c>
      <c r="C9669" t="s">
        <v>14917</v>
      </c>
      <c r="D9669" t="s">
        <v>6168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14918</v>
      </c>
      <c r="B9673">
        <v>32523</v>
      </c>
      <c r="C9673" t="s">
        <v>7124</v>
      </c>
      <c r="D9673" t="s">
        <v>6168</v>
      </c>
    </row>
    <row r="9674" spans="1:4">
      <c r="A9674" t="s">
        <v>14919</v>
      </c>
      <c r="B9674">
        <v>22646</v>
      </c>
      <c r="C9674" t="s">
        <v>585</v>
      </c>
      <c r="D9674" t="s">
        <v>6267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14920</v>
      </c>
      <c r="B9676">
        <v>3017</v>
      </c>
      <c r="C9676" t="s">
        <v>7412</v>
      </c>
      <c r="D9676" t="s">
        <v>6168</v>
      </c>
    </row>
    <row r="9677" spans="1:4">
      <c r="A9677" t="s">
        <v>14921</v>
      </c>
      <c r="B9677">
        <v>3018</v>
      </c>
      <c r="C9677" t="s">
        <v>14922</v>
      </c>
      <c r="D9677" t="s">
        <v>6168</v>
      </c>
    </row>
    <row r="9678" spans="1:4">
      <c r="A9678" t="s">
        <v>14923</v>
      </c>
      <c r="B9678">
        <v>3019</v>
      </c>
      <c r="C9678" t="s">
        <v>14924</v>
      </c>
      <c r="D9678" t="s">
        <v>6168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14925</v>
      </c>
      <c r="B9680">
        <v>3048</v>
      </c>
      <c r="C9680" t="s">
        <v>6866</v>
      </c>
      <c r="D9680" t="s">
        <v>6168</v>
      </c>
    </row>
    <row r="9681" spans="1:4">
      <c r="A9681" t="s">
        <v>14926</v>
      </c>
      <c r="B9681">
        <v>42918</v>
      </c>
      <c r="C9681" t="s">
        <v>14927</v>
      </c>
      <c r="D9681" t="s">
        <v>6267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14928</v>
      </c>
      <c r="B9684">
        <v>3761</v>
      </c>
      <c r="C9684" t="s">
        <v>12628</v>
      </c>
      <c r="D9684" t="s">
        <v>6168</v>
      </c>
    </row>
    <row r="9685" spans="1:4">
      <c r="A9685" t="s">
        <v>14929</v>
      </c>
      <c r="B9685">
        <v>3762</v>
      </c>
      <c r="C9685" t="s">
        <v>14930</v>
      </c>
      <c r="D9685" t="s">
        <v>6168</v>
      </c>
    </row>
    <row r="9686" spans="1:4">
      <c r="A9686" t="s">
        <v>17336</v>
      </c>
      <c r="B9686">
        <v>45430</v>
      </c>
      <c r="C9686" t="s">
        <v>2640</v>
      </c>
      <c r="D9686" t="s">
        <v>123</v>
      </c>
    </row>
    <row r="9687" spans="1:4">
      <c r="A9687" t="s">
        <v>17492</v>
      </c>
      <c r="B9687">
        <v>45893</v>
      </c>
      <c r="C9687" t="s">
        <v>17493</v>
      </c>
      <c r="D9687" t="s">
        <v>123</v>
      </c>
    </row>
    <row r="9688" spans="1:4">
      <c r="A9688" t="s">
        <v>17494</v>
      </c>
      <c r="B9688">
        <v>45894</v>
      </c>
      <c r="C9688" t="s">
        <v>17495</v>
      </c>
      <c r="D9688" t="s">
        <v>6168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14931</v>
      </c>
      <c r="B9690">
        <v>385</v>
      </c>
      <c r="C9690" t="s">
        <v>9392</v>
      </c>
      <c r="D9690" t="s">
        <v>6168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14932</v>
      </c>
      <c r="B9693">
        <v>40447</v>
      </c>
      <c r="C9693" t="s">
        <v>9943</v>
      </c>
      <c r="D9693" t="s">
        <v>6314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14933</v>
      </c>
      <c r="B9695">
        <v>19305</v>
      </c>
      <c r="C9695" t="s">
        <v>14934</v>
      </c>
      <c r="D9695" t="s">
        <v>6168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6248</v>
      </c>
    </row>
    <row r="9699" spans="1:4">
      <c r="A9699" t="s">
        <v>14935</v>
      </c>
      <c r="B9699">
        <v>35110</v>
      </c>
      <c r="C9699" t="s">
        <v>8859</v>
      </c>
      <c r="D9699" t="s">
        <v>6168</v>
      </c>
    </row>
    <row r="9700" spans="1:4">
      <c r="A9700" t="s">
        <v>14936</v>
      </c>
      <c r="B9700">
        <v>29481</v>
      </c>
      <c r="C9700" t="s">
        <v>14937</v>
      </c>
      <c r="D9700" t="s">
        <v>6168</v>
      </c>
    </row>
    <row r="9701" spans="1:4">
      <c r="A9701" t="s">
        <v>14938</v>
      </c>
      <c r="B9701">
        <v>24274</v>
      </c>
      <c r="C9701" t="s">
        <v>2946</v>
      </c>
      <c r="D9701" t="s">
        <v>6168</v>
      </c>
    </row>
    <row r="9702" spans="1:4">
      <c r="A9702" t="s">
        <v>14939</v>
      </c>
      <c r="B9702">
        <v>24841</v>
      </c>
      <c r="C9702" t="s">
        <v>4528</v>
      </c>
      <c r="D9702" t="s">
        <v>6168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14940</v>
      </c>
      <c r="B9709">
        <v>3767</v>
      </c>
      <c r="C9709" t="s">
        <v>4392</v>
      </c>
      <c r="D9709" t="s">
        <v>6168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17476</v>
      </c>
      <c r="B9711">
        <v>45764</v>
      </c>
      <c r="C9711" t="s">
        <v>17477</v>
      </c>
      <c r="D9711" t="s">
        <v>123</v>
      </c>
    </row>
    <row r="9712" spans="1:4">
      <c r="A9712" t="s">
        <v>17557</v>
      </c>
      <c r="B9712">
        <v>45994</v>
      </c>
      <c r="C9712" t="s">
        <v>6601</v>
      </c>
      <c r="D9712" t="s">
        <v>6168</v>
      </c>
    </row>
    <row r="9713" spans="1:4">
      <c r="A9713" t="s">
        <v>17536</v>
      </c>
      <c r="B9713">
        <v>45955</v>
      </c>
      <c r="C9713" t="s">
        <v>6214</v>
      </c>
      <c r="D9713" t="s">
        <v>6168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14941</v>
      </c>
      <c r="B9715">
        <v>36134</v>
      </c>
      <c r="C9715" t="s">
        <v>5462</v>
      </c>
      <c r="D9715" t="s">
        <v>6168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14942</v>
      </c>
      <c r="B9717">
        <v>41614</v>
      </c>
      <c r="C9717" t="s">
        <v>14943</v>
      </c>
      <c r="D9717" t="s">
        <v>6168</v>
      </c>
    </row>
    <row r="9718" spans="1:4">
      <c r="A9718" t="s">
        <v>17337</v>
      </c>
      <c r="B9718">
        <v>45431</v>
      </c>
      <c r="C9718" t="s">
        <v>17338</v>
      </c>
      <c r="D9718" t="s">
        <v>6168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14944</v>
      </c>
      <c r="B9721">
        <v>30642</v>
      </c>
      <c r="C9721" t="s">
        <v>12248</v>
      </c>
      <c r="D9721" t="s">
        <v>6168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14945</v>
      </c>
      <c r="B9724">
        <v>31167</v>
      </c>
      <c r="C9724" t="s">
        <v>14946</v>
      </c>
      <c r="D9724" t="s">
        <v>6168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14947</v>
      </c>
      <c r="B9726">
        <v>23909</v>
      </c>
      <c r="C9726" t="s">
        <v>2633</v>
      </c>
      <c r="D9726" t="s">
        <v>6168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14948</v>
      </c>
      <c r="B9728">
        <v>23910</v>
      </c>
      <c r="C9728" t="s">
        <v>12305</v>
      </c>
      <c r="D9728" t="s">
        <v>6168</v>
      </c>
    </row>
    <row r="9729" spans="1:4">
      <c r="A9729" t="s">
        <v>14949</v>
      </c>
      <c r="B9729">
        <v>31283</v>
      </c>
      <c r="C9729" t="s">
        <v>14950</v>
      </c>
      <c r="D9729" t="s">
        <v>6168</v>
      </c>
    </row>
    <row r="9730" spans="1:4">
      <c r="A9730" t="s">
        <v>3503</v>
      </c>
      <c r="B9730">
        <v>29692</v>
      </c>
      <c r="C9730" t="s">
        <v>14950</v>
      </c>
      <c r="D9730" t="s">
        <v>123</v>
      </c>
    </row>
    <row r="9731" spans="1:4">
      <c r="A9731" t="s">
        <v>14951</v>
      </c>
      <c r="B9731">
        <v>5232</v>
      </c>
      <c r="D9731" t="s">
        <v>6267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14952</v>
      </c>
      <c r="B9733">
        <v>5221</v>
      </c>
      <c r="C9733" t="s">
        <v>14953</v>
      </c>
      <c r="D9733" t="s">
        <v>6168</v>
      </c>
    </row>
    <row r="9734" spans="1:4">
      <c r="A9734" t="s">
        <v>17339</v>
      </c>
      <c r="B9734">
        <v>45432</v>
      </c>
      <c r="C9734" t="s">
        <v>17340</v>
      </c>
      <c r="D9734" t="s">
        <v>123</v>
      </c>
    </row>
    <row r="9735" spans="1:4">
      <c r="A9735" t="s">
        <v>17415</v>
      </c>
      <c r="B9735">
        <v>45502</v>
      </c>
      <c r="C9735" t="s">
        <v>17340</v>
      </c>
      <c r="D9735" t="s">
        <v>6168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14954</v>
      </c>
      <c r="B9737">
        <v>25386</v>
      </c>
      <c r="C9737" t="s">
        <v>14955</v>
      </c>
      <c r="D9737" t="s">
        <v>6168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14956</v>
      </c>
      <c r="B9739">
        <v>23911</v>
      </c>
      <c r="C9739" t="s">
        <v>7430</v>
      </c>
      <c r="D9739" t="s">
        <v>6168</v>
      </c>
    </row>
    <row r="9740" spans="1:4">
      <c r="A9740" t="s">
        <v>14957</v>
      </c>
      <c r="B9740">
        <v>33999</v>
      </c>
      <c r="C9740" t="s">
        <v>14958</v>
      </c>
      <c r="D9740" t="s">
        <v>6168</v>
      </c>
    </row>
    <row r="9741" spans="1:4">
      <c r="A9741" t="s">
        <v>14959</v>
      </c>
      <c r="B9741">
        <v>34153</v>
      </c>
      <c r="C9741" t="s">
        <v>14960</v>
      </c>
      <c r="D9741" t="s">
        <v>6449</v>
      </c>
    </row>
    <row r="9742" spans="1:4">
      <c r="A9742" t="s">
        <v>14961</v>
      </c>
      <c r="B9742">
        <v>23912</v>
      </c>
      <c r="C9742" t="s">
        <v>14962</v>
      </c>
      <c r="D9742" t="s">
        <v>6168</v>
      </c>
    </row>
    <row r="9743" spans="1:4">
      <c r="A9743" t="s">
        <v>14963</v>
      </c>
      <c r="B9743">
        <v>23607</v>
      </c>
      <c r="C9743" t="s">
        <v>14964</v>
      </c>
      <c r="D9743" t="s">
        <v>6168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14965</v>
      </c>
      <c r="B9745">
        <v>24842</v>
      </c>
      <c r="C9745" t="s">
        <v>14966</v>
      </c>
      <c r="D9745" t="s">
        <v>6168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14967</v>
      </c>
      <c r="B9747">
        <v>30634</v>
      </c>
      <c r="C9747" t="s">
        <v>6317</v>
      </c>
      <c r="D9747" t="s">
        <v>6168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14968</v>
      </c>
      <c r="B9749">
        <v>24276</v>
      </c>
      <c r="C9749" t="s">
        <v>14969</v>
      </c>
      <c r="D9749" t="s">
        <v>6168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14970</v>
      </c>
      <c r="B9754">
        <v>30630</v>
      </c>
      <c r="C9754" t="s">
        <v>14971</v>
      </c>
      <c r="D9754" t="s">
        <v>6168</v>
      </c>
    </row>
    <row r="9755" spans="1:4">
      <c r="A9755" t="s">
        <v>14972</v>
      </c>
      <c r="B9755">
        <v>30687</v>
      </c>
      <c r="C9755" t="s">
        <v>14973</v>
      </c>
      <c r="D9755" t="s">
        <v>6168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14974</v>
      </c>
      <c r="B9757">
        <v>32507</v>
      </c>
      <c r="C9757" t="s">
        <v>14281</v>
      </c>
      <c r="D9757" t="s">
        <v>6168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14975</v>
      </c>
      <c r="B9760">
        <v>31472</v>
      </c>
      <c r="C9760" t="s">
        <v>6731</v>
      </c>
      <c r="D9760" t="s">
        <v>6168</v>
      </c>
    </row>
    <row r="9761" spans="1:4">
      <c r="A9761" t="s">
        <v>16761</v>
      </c>
      <c r="B9761">
        <v>43331</v>
      </c>
      <c r="C9761" t="s">
        <v>16762</v>
      </c>
      <c r="D9761" t="s">
        <v>123</v>
      </c>
    </row>
    <row r="9762" spans="1:4">
      <c r="A9762" t="s">
        <v>16793</v>
      </c>
      <c r="B9762">
        <v>43351</v>
      </c>
      <c r="C9762" t="s">
        <v>16794</v>
      </c>
      <c r="D9762" t="s">
        <v>6168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14976</v>
      </c>
      <c r="B9764">
        <v>29505</v>
      </c>
      <c r="C9764" t="s">
        <v>14977</v>
      </c>
      <c r="D9764" t="s">
        <v>6168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14978</v>
      </c>
      <c r="B9766">
        <v>22649</v>
      </c>
      <c r="C9766" t="s">
        <v>14979</v>
      </c>
      <c r="D9766" t="s">
        <v>6168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14980</v>
      </c>
      <c r="B9770">
        <v>20720</v>
      </c>
      <c r="D9770" t="s">
        <v>6314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14981</v>
      </c>
      <c r="B9772">
        <v>240</v>
      </c>
      <c r="C9772" t="s">
        <v>7320</v>
      </c>
      <c r="D9772" t="s">
        <v>6168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14982</v>
      </c>
      <c r="B9774">
        <v>43609</v>
      </c>
      <c r="C9774" t="s">
        <v>14983</v>
      </c>
      <c r="D9774" t="s">
        <v>123</v>
      </c>
    </row>
    <row r="9775" spans="1:4">
      <c r="A9775" t="s">
        <v>14984</v>
      </c>
      <c r="B9775">
        <v>43622</v>
      </c>
      <c r="C9775" t="s">
        <v>14985</v>
      </c>
      <c r="D9775" t="s">
        <v>6168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14986</v>
      </c>
      <c r="B9778">
        <v>4557</v>
      </c>
      <c r="C9778" t="s">
        <v>14166</v>
      </c>
      <c r="D9778" t="s">
        <v>6245</v>
      </c>
    </row>
    <row r="9779" spans="1:4">
      <c r="A9779" t="s">
        <v>14987</v>
      </c>
      <c r="B9779">
        <v>22650</v>
      </c>
      <c r="C9779" t="s">
        <v>14988</v>
      </c>
      <c r="D9779" t="s">
        <v>6314</v>
      </c>
    </row>
    <row r="9780" spans="1:4">
      <c r="A9780" t="s">
        <v>14989</v>
      </c>
      <c r="B9780">
        <v>22651</v>
      </c>
      <c r="D9780" t="s">
        <v>6245</v>
      </c>
    </row>
    <row r="9781" spans="1:4">
      <c r="A9781" t="s">
        <v>14990</v>
      </c>
      <c r="B9781">
        <v>23221</v>
      </c>
      <c r="C9781" t="s">
        <v>14991</v>
      </c>
      <c r="D9781" t="s">
        <v>6241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14992</v>
      </c>
      <c r="B9783">
        <v>23914</v>
      </c>
      <c r="C9783" t="s">
        <v>7065</v>
      </c>
      <c r="D9783" t="s">
        <v>6168</v>
      </c>
    </row>
    <row r="9784" spans="1:4">
      <c r="A9784" t="s">
        <v>14993</v>
      </c>
      <c r="B9784">
        <v>31279</v>
      </c>
      <c r="C9784" t="s">
        <v>7065</v>
      </c>
      <c r="D9784" t="s">
        <v>6168</v>
      </c>
    </row>
    <row r="9785" spans="1:4">
      <c r="A9785" t="s">
        <v>14994</v>
      </c>
      <c r="B9785">
        <v>26081</v>
      </c>
      <c r="C9785" t="s">
        <v>6724</v>
      </c>
      <c r="D9785" t="s">
        <v>6168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14995</v>
      </c>
      <c r="B9787">
        <v>29687</v>
      </c>
      <c r="C9787" t="s">
        <v>14996</v>
      </c>
      <c r="D9787" t="s">
        <v>6168</v>
      </c>
    </row>
    <row r="9788" spans="1:4">
      <c r="A9788" t="s">
        <v>17011</v>
      </c>
      <c r="B9788">
        <v>44271</v>
      </c>
      <c r="C9788" t="s">
        <v>1402</v>
      </c>
      <c r="D9788" t="s">
        <v>123</v>
      </c>
    </row>
    <row r="9789" spans="1:4">
      <c r="A9789" t="s">
        <v>17045</v>
      </c>
      <c r="B9789">
        <v>44297</v>
      </c>
      <c r="C9789" t="s">
        <v>6546</v>
      </c>
      <c r="D9789" t="s">
        <v>6168</v>
      </c>
    </row>
    <row r="9790" spans="1:4">
      <c r="A9790" t="s">
        <v>17046</v>
      </c>
      <c r="B9790">
        <v>44298</v>
      </c>
      <c r="C9790" t="s">
        <v>17047</v>
      </c>
      <c r="D9790" t="s">
        <v>6168</v>
      </c>
    </row>
    <row r="9791" spans="1:4">
      <c r="A9791" t="s">
        <v>17048</v>
      </c>
      <c r="B9791">
        <v>44299</v>
      </c>
      <c r="C9791" t="s">
        <v>17049</v>
      </c>
      <c r="D9791" t="s">
        <v>6168</v>
      </c>
    </row>
    <row r="9792" spans="1:4">
      <c r="A9792" t="s">
        <v>14997</v>
      </c>
      <c r="B9792">
        <v>4199</v>
      </c>
      <c r="C9792" t="s">
        <v>14991</v>
      </c>
      <c r="D9792" t="s">
        <v>6241</v>
      </c>
    </row>
    <row r="9793" spans="1:4">
      <c r="A9793" t="s">
        <v>14998</v>
      </c>
      <c r="B9793">
        <v>35752</v>
      </c>
      <c r="C9793" t="s">
        <v>4661</v>
      </c>
      <c r="D9793" t="s">
        <v>6314</v>
      </c>
    </row>
    <row r="9794" spans="1:4">
      <c r="A9794" t="s">
        <v>14999</v>
      </c>
      <c r="B9794">
        <v>22652</v>
      </c>
      <c r="D9794" t="s">
        <v>6241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15000</v>
      </c>
      <c r="B9796">
        <v>195</v>
      </c>
      <c r="C9796" t="s">
        <v>6568</v>
      </c>
      <c r="D9796" t="s">
        <v>6168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15001</v>
      </c>
      <c r="B9801">
        <v>43158</v>
      </c>
      <c r="C9801" t="s">
        <v>15002</v>
      </c>
      <c r="D9801" t="s">
        <v>6168</v>
      </c>
    </row>
    <row r="9802" spans="1:4">
      <c r="A9802" t="s">
        <v>15003</v>
      </c>
      <c r="B9802">
        <v>10228</v>
      </c>
      <c r="C9802" t="s">
        <v>15004</v>
      </c>
      <c r="D9802" t="s">
        <v>6168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15005</v>
      </c>
      <c r="B9805">
        <v>20582</v>
      </c>
      <c r="D9805" t="s">
        <v>6314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15006</v>
      </c>
      <c r="B9807">
        <v>22654</v>
      </c>
      <c r="C9807" t="s">
        <v>15007</v>
      </c>
      <c r="D9807" t="s">
        <v>6168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15008</v>
      </c>
      <c r="B9809">
        <v>22656</v>
      </c>
      <c r="C9809" t="s">
        <v>4950</v>
      </c>
      <c r="D9809" t="s">
        <v>6168</v>
      </c>
    </row>
    <row r="9810" spans="1:4">
      <c r="A9810" t="s">
        <v>15009</v>
      </c>
      <c r="B9810">
        <v>22657</v>
      </c>
      <c r="C9810" t="s">
        <v>15010</v>
      </c>
      <c r="D9810" t="s">
        <v>6322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15011</v>
      </c>
      <c r="B9812">
        <v>29388</v>
      </c>
      <c r="C9812" t="s">
        <v>10188</v>
      </c>
      <c r="D9812" t="s">
        <v>6168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15012</v>
      </c>
      <c r="B9814">
        <v>36453</v>
      </c>
      <c r="C9814" t="s">
        <v>6985</v>
      </c>
      <c r="D9814" t="s">
        <v>6168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15013</v>
      </c>
      <c r="B9816">
        <v>35336</v>
      </c>
      <c r="C9816" t="s">
        <v>4950</v>
      </c>
      <c r="D9816" t="s">
        <v>6168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15014</v>
      </c>
      <c r="B9818">
        <v>25233</v>
      </c>
      <c r="C9818" t="s">
        <v>15015</v>
      </c>
      <c r="D9818" t="s">
        <v>6168</v>
      </c>
    </row>
    <row r="9819" spans="1:4">
      <c r="A9819" t="s">
        <v>15016</v>
      </c>
      <c r="B9819">
        <v>22658</v>
      </c>
      <c r="C9819" t="s">
        <v>15017</v>
      </c>
      <c r="D9819" t="s">
        <v>6267</v>
      </c>
    </row>
    <row r="9820" spans="1:4">
      <c r="A9820" t="s">
        <v>15018</v>
      </c>
      <c r="B9820">
        <v>3631</v>
      </c>
      <c r="C9820" t="s">
        <v>4810</v>
      </c>
      <c r="D9820" t="s">
        <v>6605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15019</v>
      </c>
      <c r="B9822">
        <v>40445</v>
      </c>
      <c r="C9822" t="s">
        <v>7221</v>
      </c>
      <c r="D9822" t="s">
        <v>6314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15020</v>
      </c>
      <c r="B9824">
        <v>42231</v>
      </c>
      <c r="C9824" t="s">
        <v>15021</v>
      </c>
      <c r="D9824" t="s">
        <v>6168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15022</v>
      </c>
      <c r="B9826">
        <v>23442</v>
      </c>
      <c r="C9826" t="s">
        <v>1338</v>
      </c>
      <c r="D9826" t="s">
        <v>6168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15023</v>
      </c>
      <c r="B9828">
        <v>23123</v>
      </c>
      <c r="D9828" t="s">
        <v>6314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15024</v>
      </c>
      <c r="B9830">
        <v>22660</v>
      </c>
      <c r="C9830" t="s">
        <v>15025</v>
      </c>
      <c r="D9830" t="s">
        <v>6168</v>
      </c>
    </row>
    <row r="9831" spans="1:4">
      <c r="A9831" t="s">
        <v>15026</v>
      </c>
      <c r="B9831">
        <v>39793</v>
      </c>
      <c r="C9831" t="s">
        <v>4950</v>
      </c>
      <c r="D9831" t="s">
        <v>6168</v>
      </c>
    </row>
    <row r="9832" spans="1:4">
      <c r="A9832" t="s">
        <v>15027</v>
      </c>
      <c r="B9832">
        <v>22661</v>
      </c>
      <c r="C9832" t="s">
        <v>15028</v>
      </c>
      <c r="D9832" t="s">
        <v>6168</v>
      </c>
    </row>
    <row r="9833" spans="1:4">
      <c r="A9833" t="s">
        <v>15029</v>
      </c>
      <c r="B9833">
        <v>24847</v>
      </c>
      <c r="C9833" t="s">
        <v>15030</v>
      </c>
      <c r="D9833" t="s">
        <v>6168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15031</v>
      </c>
      <c r="B9835">
        <v>22663</v>
      </c>
      <c r="D9835" t="s">
        <v>6267</v>
      </c>
    </row>
    <row r="9836" spans="1:4">
      <c r="A9836" t="s">
        <v>15032</v>
      </c>
      <c r="B9836">
        <v>22664</v>
      </c>
      <c r="C9836" t="s">
        <v>624</v>
      </c>
      <c r="D9836" t="s">
        <v>6314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15033</v>
      </c>
      <c r="B9840">
        <v>40854</v>
      </c>
      <c r="C9840" t="s">
        <v>6309</v>
      </c>
      <c r="D9840" t="s">
        <v>6168</v>
      </c>
    </row>
    <row r="9841" spans="1:4">
      <c r="A9841" t="s">
        <v>17341</v>
      </c>
      <c r="B9841">
        <v>45434</v>
      </c>
      <c r="C9841" t="s">
        <v>6879</v>
      </c>
      <c r="D9841" t="s">
        <v>6168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15034</v>
      </c>
      <c r="B9843">
        <v>22666</v>
      </c>
      <c r="C9843" t="s">
        <v>8772</v>
      </c>
      <c r="D9843" t="s">
        <v>6168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15035</v>
      </c>
      <c r="B9845">
        <v>22668</v>
      </c>
      <c r="C9845" t="s">
        <v>15036</v>
      </c>
      <c r="D9845" t="s">
        <v>6168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15037</v>
      </c>
      <c r="B9847">
        <v>660</v>
      </c>
      <c r="C9847" t="s">
        <v>15038</v>
      </c>
      <c r="D9847" t="s">
        <v>6168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15039</v>
      </c>
      <c r="B9849">
        <v>19320</v>
      </c>
      <c r="C9849" t="s">
        <v>15040</v>
      </c>
      <c r="D9849" t="s">
        <v>6168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15041</v>
      </c>
      <c r="B9851">
        <v>1005</v>
      </c>
      <c r="C9851" t="s">
        <v>4950</v>
      </c>
      <c r="D9851" t="s">
        <v>6168</v>
      </c>
    </row>
    <row r="9852" spans="1:4">
      <c r="A9852" t="s">
        <v>15042</v>
      </c>
      <c r="B9852">
        <v>19298</v>
      </c>
      <c r="C9852" t="s">
        <v>4950</v>
      </c>
      <c r="D9852" t="s">
        <v>6168</v>
      </c>
    </row>
    <row r="9853" spans="1:4">
      <c r="A9853" t="s">
        <v>15043</v>
      </c>
      <c r="B9853">
        <v>25796</v>
      </c>
      <c r="C9853" t="s">
        <v>7412</v>
      </c>
      <c r="D9853" t="s">
        <v>6168</v>
      </c>
    </row>
    <row r="9854" spans="1:4">
      <c r="A9854" t="s">
        <v>15044</v>
      </c>
      <c r="B9854">
        <v>1006</v>
      </c>
      <c r="C9854" t="s">
        <v>9020</v>
      </c>
      <c r="D9854" t="s">
        <v>6168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15045</v>
      </c>
      <c r="B9856">
        <v>22674</v>
      </c>
      <c r="C9856" t="s">
        <v>15046</v>
      </c>
      <c r="D9856" t="s">
        <v>6168</v>
      </c>
    </row>
    <row r="9857" spans="1:4">
      <c r="A9857" t="s">
        <v>15047</v>
      </c>
      <c r="B9857">
        <v>2719</v>
      </c>
      <c r="C9857" t="s">
        <v>4950</v>
      </c>
      <c r="D9857" t="s">
        <v>6168</v>
      </c>
    </row>
    <row r="9858" spans="1:4">
      <c r="A9858" t="s">
        <v>15048</v>
      </c>
      <c r="B9858">
        <v>22675</v>
      </c>
      <c r="C9858" t="s">
        <v>6861</v>
      </c>
      <c r="D9858" t="s">
        <v>6168</v>
      </c>
    </row>
    <row r="9859" spans="1:4">
      <c r="A9859" t="s">
        <v>15049</v>
      </c>
      <c r="B9859">
        <v>22669</v>
      </c>
      <c r="C9859" t="s">
        <v>15050</v>
      </c>
      <c r="D9859" t="s">
        <v>6168</v>
      </c>
    </row>
    <row r="9860" spans="1:4">
      <c r="A9860" t="s">
        <v>15051</v>
      </c>
      <c r="B9860">
        <v>22670</v>
      </c>
      <c r="C9860" t="s">
        <v>15052</v>
      </c>
      <c r="D9860" t="s">
        <v>6168</v>
      </c>
    </row>
    <row r="9861" spans="1:4">
      <c r="A9861" t="s">
        <v>15053</v>
      </c>
      <c r="B9861">
        <v>22671</v>
      </c>
      <c r="C9861" t="s">
        <v>15052</v>
      </c>
      <c r="D9861" t="s">
        <v>6168</v>
      </c>
    </row>
    <row r="9862" spans="1:4">
      <c r="A9862" t="s">
        <v>15054</v>
      </c>
      <c r="B9862">
        <v>22672</v>
      </c>
      <c r="C9862" t="s">
        <v>15052</v>
      </c>
      <c r="D9862" t="s">
        <v>6168</v>
      </c>
    </row>
    <row r="9863" spans="1:4">
      <c r="A9863" t="s">
        <v>15055</v>
      </c>
      <c r="B9863">
        <v>22673</v>
      </c>
      <c r="C9863" t="s">
        <v>15052</v>
      </c>
      <c r="D9863" t="s">
        <v>6168</v>
      </c>
    </row>
    <row r="9864" spans="1:4">
      <c r="A9864" t="s">
        <v>15056</v>
      </c>
      <c r="B9864">
        <v>22676</v>
      </c>
      <c r="C9864" t="s">
        <v>15057</v>
      </c>
      <c r="D9864" t="s">
        <v>6267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15058</v>
      </c>
      <c r="B9866">
        <v>31806</v>
      </c>
      <c r="C9866" t="s">
        <v>6330</v>
      </c>
      <c r="D9866" t="s">
        <v>6168</v>
      </c>
    </row>
    <row r="9867" spans="1:4">
      <c r="A9867" t="s">
        <v>15059</v>
      </c>
      <c r="B9867">
        <v>42913</v>
      </c>
      <c r="C9867" t="s">
        <v>1281</v>
      </c>
      <c r="D9867" t="s">
        <v>6267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15060</v>
      </c>
      <c r="B9869">
        <v>30510</v>
      </c>
      <c r="C9869" t="s">
        <v>15061</v>
      </c>
      <c r="D9869" t="s">
        <v>6168</v>
      </c>
    </row>
    <row r="9870" spans="1:4">
      <c r="A9870" t="s">
        <v>15062</v>
      </c>
      <c r="B9870">
        <v>38783</v>
      </c>
      <c r="C9870" t="s">
        <v>15063</v>
      </c>
      <c r="D9870" t="s">
        <v>6168</v>
      </c>
    </row>
    <row r="9871" spans="1:4">
      <c r="A9871" t="s">
        <v>15064</v>
      </c>
      <c r="B9871">
        <v>29291</v>
      </c>
      <c r="C9871" t="s">
        <v>6194</v>
      </c>
      <c r="D9871" t="s">
        <v>6168</v>
      </c>
    </row>
    <row r="9872" spans="1:4">
      <c r="A9872" t="s">
        <v>15065</v>
      </c>
      <c r="B9872">
        <v>29385</v>
      </c>
      <c r="C9872" t="s">
        <v>6194</v>
      </c>
      <c r="D9872" t="s">
        <v>6168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15066</v>
      </c>
      <c r="B9874">
        <v>3198</v>
      </c>
      <c r="C9874" t="s">
        <v>15067</v>
      </c>
      <c r="D9874" t="s">
        <v>6248</v>
      </c>
    </row>
    <row r="9875" spans="1:4">
      <c r="A9875" t="s">
        <v>15068</v>
      </c>
      <c r="B9875">
        <v>3199</v>
      </c>
      <c r="D9875" t="s">
        <v>6168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15069</v>
      </c>
      <c r="B9877">
        <v>35278</v>
      </c>
      <c r="C9877" t="s">
        <v>15070</v>
      </c>
      <c r="D9877" t="s">
        <v>6248</v>
      </c>
    </row>
    <row r="9878" spans="1:4">
      <c r="A9878" t="s">
        <v>15071</v>
      </c>
      <c r="B9878">
        <v>35601</v>
      </c>
      <c r="C9878" t="s">
        <v>15072</v>
      </c>
      <c r="D9878" t="s">
        <v>6168</v>
      </c>
    </row>
    <row r="9879" spans="1:4">
      <c r="A9879" t="s">
        <v>15073</v>
      </c>
      <c r="B9879">
        <v>30514</v>
      </c>
      <c r="C9879" t="s">
        <v>3461</v>
      </c>
      <c r="D9879" t="s">
        <v>6248</v>
      </c>
    </row>
    <row r="9880" spans="1:4">
      <c r="A9880" t="s">
        <v>15074</v>
      </c>
      <c r="B9880">
        <v>30706</v>
      </c>
      <c r="C9880" t="s">
        <v>15075</v>
      </c>
      <c r="D9880" t="s">
        <v>6168</v>
      </c>
    </row>
    <row r="9881" spans="1:4">
      <c r="A9881" t="s">
        <v>15076</v>
      </c>
      <c r="B9881">
        <v>29899</v>
      </c>
      <c r="C9881" t="s">
        <v>3428</v>
      </c>
      <c r="D9881" t="s">
        <v>6248</v>
      </c>
    </row>
    <row r="9882" spans="1:4">
      <c r="A9882" t="s">
        <v>15077</v>
      </c>
      <c r="B9882">
        <v>29887</v>
      </c>
      <c r="C9882" t="s">
        <v>8466</v>
      </c>
      <c r="D9882" t="s">
        <v>6168</v>
      </c>
    </row>
    <row r="9883" spans="1:4">
      <c r="A9883" t="s">
        <v>15078</v>
      </c>
      <c r="B9883">
        <v>29886</v>
      </c>
      <c r="C9883" t="s">
        <v>8466</v>
      </c>
      <c r="D9883" t="s">
        <v>6168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15079</v>
      </c>
      <c r="B9885">
        <v>29747</v>
      </c>
      <c r="C9885" t="s">
        <v>3428</v>
      </c>
      <c r="D9885" t="s">
        <v>6267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15080</v>
      </c>
      <c r="B9887">
        <v>4443</v>
      </c>
      <c r="C9887" t="s">
        <v>6672</v>
      </c>
      <c r="D9887" t="s">
        <v>6168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15081</v>
      </c>
      <c r="B9889">
        <v>39620</v>
      </c>
      <c r="D9889" t="s">
        <v>6230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15082</v>
      </c>
      <c r="B9891">
        <v>35743</v>
      </c>
      <c r="C9891" t="s">
        <v>12728</v>
      </c>
      <c r="D9891" t="s">
        <v>6230</v>
      </c>
    </row>
    <row r="9892" spans="1:4">
      <c r="A9892" t="s">
        <v>17416</v>
      </c>
      <c r="B9892">
        <v>45503</v>
      </c>
      <c r="C9892" t="s">
        <v>17417</v>
      </c>
      <c r="D9892" t="s">
        <v>123</v>
      </c>
    </row>
    <row r="9893" spans="1:4">
      <c r="A9893" t="s">
        <v>17478</v>
      </c>
      <c r="B9893">
        <v>45765</v>
      </c>
      <c r="C9893" t="s">
        <v>17479</v>
      </c>
      <c r="D9893" t="s">
        <v>6168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15083</v>
      </c>
      <c r="B9895">
        <v>27380</v>
      </c>
      <c r="C9895" t="s">
        <v>15084</v>
      </c>
      <c r="D9895" t="s">
        <v>6168</v>
      </c>
    </row>
    <row r="9896" spans="1:4">
      <c r="A9896" t="s">
        <v>15085</v>
      </c>
      <c r="B9896">
        <v>27379</v>
      </c>
      <c r="C9896" t="s">
        <v>15086</v>
      </c>
      <c r="D9896" t="s">
        <v>6168</v>
      </c>
    </row>
    <row r="9897" spans="1:4">
      <c r="A9897" t="s">
        <v>15087</v>
      </c>
      <c r="B9897">
        <v>24279</v>
      </c>
      <c r="C9897" t="s">
        <v>6879</v>
      </c>
      <c r="D9897" t="s">
        <v>6168</v>
      </c>
    </row>
    <row r="9898" spans="1:4">
      <c r="A9898" t="s">
        <v>15088</v>
      </c>
      <c r="B9898">
        <v>24280</v>
      </c>
      <c r="C9898" t="s">
        <v>6194</v>
      </c>
      <c r="D9898" t="s">
        <v>6168</v>
      </c>
    </row>
    <row r="9899" spans="1:4">
      <c r="A9899" t="s">
        <v>17160</v>
      </c>
      <c r="B9899">
        <v>44460</v>
      </c>
      <c r="C9899" t="s">
        <v>6373</v>
      </c>
      <c r="D9899" t="s">
        <v>6168</v>
      </c>
    </row>
    <row r="9900" spans="1:4">
      <c r="A9900" t="s">
        <v>15089</v>
      </c>
      <c r="B9900">
        <v>37800</v>
      </c>
      <c r="C9900" t="s">
        <v>7236</v>
      </c>
      <c r="D9900" t="s">
        <v>6168</v>
      </c>
    </row>
    <row r="9901" spans="1:4">
      <c r="A9901" t="s">
        <v>15090</v>
      </c>
      <c r="B9901">
        <v>39730</v>
      </c>
      <c r="C9901" t="s">
        <v>6194</v>
      </c>
      <c r="D9901" t="s">
        <v>6168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15091</v>
      </c>
      <c r="B9904">
        <v>11</v>
      </c>
      <c r="C9904" t="s">
        <v>11748</v>
      </c>
      <c r="D9904" t="s">
        <v>6168</v>
      </c>
    </row>
    <row r="9905" spans="1:4">
      <c r="A9905" t="s">
        <v>15092</v>
      </c>
      <c r="B9905">
        <v>12</v>
      </c>
      <c r="C9905" t="s">
        <v>13396</v>
      </c>
      <c r="D9905" t="s">
        <v>6168</v>
      </c>
    </row>
    <row r="9906" spans="1:4">
      <c r="A9906" t="s">
        <v>15093</v>
      </c>
      <c r="B9906">
        <v>13</v>
      </c>
      <c r="C9906" t="s">
        <v>15094</v>
      </c>
      <c r="D9906" t="s">
        <v>6168</v>
      </c>
    </row>
    <row r="9907" spans="1:4">
      <c r="A9907" t="s">
        <v>15095</v>
      </c>
      <c r="B9907">
        <v>39473</v>
      </c>
      <c r="C9907" t="s">
        <v>13065</v>
      </c>
      <c r="D9907" t="s">
        <v>6605</v>
      </c>
    </row>
    <row r="9908" spans="1:4">
      <c r="A9908" t="s">
        <v>15096</v>
      </c>
      <c r="B9908">
        <v>29700</v>
      </c>
      <c r="C9908" t="s">
        <v>1393</v>
      </c>
      <c r="D9908" t="s">
        <v>6245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15097</v>
      </c>
      <c r="B9910">
        <v>35707</v>
      </c>
      <c r="C9910" t="s">
        <v>5422</v>
      </c>
      <c r="D9910" t="s">
        <v>6168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15098</v>
      </c>
      <c r="B9912">
        <v>42603</v>
      </c>
      <c r="C9912" t="s">
        <v>9308</v>
      </c>
      <c r="D9912" t="s">
        <v>6168</v>
      </c>
    </row>
    <row r="9913" spans="1:4">
      <c r="A9913" t="s">
        <v>15099</v>
      </c>
      <c r="B9913">
        <v>42604</v>
      </c>
      <c r="C9913" t="s">
        <v>15100</v>
      </c>
      <c r="D9913" t="s">
        <v>6449</v>
      </c>
    </row>
    <row r="9914" spans="1:4">
      <c r="A9914" t="s">
        <v>15101</v>
      </c>
      <c r="B9914">
        <v>23114</v>
      </c>
      <c r="C9914" t="s">
        <v>15102</v>
      </c>
      <c r="D9914" t="s">
        <v>6267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15103</v>
      </c>
      <c r="B9917">
        <v>10256</v>
      </c>
      <c r="C9917" t="s">
        <v>15104</v>
      </c>
      <c r="D9917" t="s">
        <v>6168</v>
      </c>
    </row>
    <row r="9918" spans="1:4">
      <c r="A9918" t="s">
        <v>17107</v>
      </c>
      <c r="B9918">
        <v>44356</v>
      </c>
      <c r="C9918" t="s">
        <v>17108</v>
      </c>
      <c r="D9918" t="s">
        <v>6168</v>
      </c>
    </row>
    <row r="9919" spans="1:4">
      <c r="A9919" t="s">
        <v>15105</v>
      </c>
      <c r="B9919">
        <v>23118</v>
      </c>
      <c r="C9919" t="s">
        <v>12645</v>
      </c>
      <c r="D9919" t="s">
        <v>6267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16676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15106</v>
      </c>
      <c r="B9929">
        <v>3721</v>
      </c>
      <c r="C9929" t="s">
        <v>4105</v>
      </c>
      <c r="D9929" t="s">
        <v>6168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15107</v>
      </c>
      <c r="B9931">
        <v>35622</v>
      </c>
      <c r="C9931" t="s">
        <v>15108</v>
      </c>
      <c r="D9931" t="s">
        <v>6168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15109</v>
      </c>
      <c r="B9933">
        <v>405</v>
      </c>
      <c r="C9933" t="s">
        <v>1432</v>
      </c>
      <c r="D9933" t="s">
        <v>6168</v>
      </c>
    </row>
    <row r="9934" spans="1:4">
      <c r="A9934" t="s">
        <v>15110</v>
      </c>
      <c r="B9934">
        <v>27413</v>
      </c>
      <c r="D9934" t="s">
        <v>6168</v>
      </c>
    </row>
    <row r="9935" spans="1:4">
      <c r="A9935" t="s">
        <v>15111</v>
      </c>
      <c r="B9935">
        <v>4229</v>
      </c>
      <c r="C9935" t="s">
        <v>15112</v>
      </c>
      <c r="D9935" t="s">
        <v>6168</v>
      </c>
    </row>
    <row r="9936" spans="1:4">
      <c r="A9936" t="s">
        <v>15113</v>
      </c>
      <c r="B9936">
        <v>3200</v>
      </c>
      <c r="C9936" t="s">
        <v>15114</v>
      </c>
      <c r="D9936" t="s">
        <v>6168</v>
      </c>
    </row>
    <row r="9937" spans="1:4">
      <c r="A9937" t="s">
        <v>15115</v>
      </c>
      <c r="B9937">
        <v>406</v>
      </c>
      <c r="C9937" t="s">
        <v>15116</v>
      </c>
      <c r="D9937" t="s">
        <v>6168</v>
      </c>
    </row>
    <row r="9938" spans="1:4">
      <c r="A9938" t="s">
        <v>15117</v>
      </c>
      <c r="B9938">
        <v>407</v>
      </c>
      <c r="C9938" t="s">
        <v>15118</v>
      </c>
      <c r="D9938" t="s">
        <v>6168</v>
      </c>
    </row>
    <row r="9939" spans="1:4">
      <c r="A9939" t="s">
        <v>15119</v>
      </c>
      <c r="B9939">
        <v>408</v>
      </c>
      <c r="C9939" t="s">
        <v>15120</v>
      </c>
      <c r="D9939" t="s">
        <v>6168</v>
      </c>
    </row>
    <row r="9940" spans="1:4">
      <c r="A9940" t="s">
        <v>15121</v>
      </c>
      <c r="B9940">
        <v>409</v>
      </c>
      <c r="C9940" t="s">
        <v>15122</v>
      </c>
      <c r="D9940" t="s">
        <v>6168</v>
      </c>
    </row>
    <row r="9941" spans="1:4">
      <c r="A9941" t="s">
        <v>15123</v>
      </c>
      <c r="B9941">
        <v>410</v>
      </c>
      <c r="C9941" t="s">
        <v>10553</v>
      </c>
      <c r="D9941" t="s">
        <v>6168</v>
      </c>
    </row>
    <row r="9942" spans="1:4">
      <c r="A9942" t="s">
        <v>15124</v>
      </c>
      <c r="B9942">
        <v>412</v>
      </c>
      <c r="C9942" t="s">
        <v>9403</v>
      </c>
      <c r="D9942" t="s">
        <v>6168</v>
      </c>
    </row>
    <row r="9943" spans="1:4">
      <c r="A9943" t="s">
        <v>15125</v>
      </c>
      <c r="B9943">
        <v>413</v>
      </c>
      <c r="C9943" t="s">
        <v>1432</v>
      </c>
      <c r="D9943" t="s">
        <v>6168</v>
      </c>
    </row>
    <row r="9944" spans="1:4">
      <c r="A9944" t="s">
        <v>15126</v>
      </c>
      <c r="B9944">
        <v>414</v>
      </c>
      <c r="D9944" t="s">
        <v>6168</v>
      </c>
    </row>
    <row r="9945" spans="1:4">
      <c r="A9945" t="s">
        <v>15127</v>
      </c>
      <c r="B9945">
        <v>415</v>
      </c>
      <c r="C9945" t="s">
        <v>1432</v>
      </c>
      <c r="D9945" t="s">
        <v>6168</v>
      </c>
    </row>
    <row r="9946" spans="1:4">
      <c r="A9946" t="s">
        <v>15128</v>
      </c>
      <c r="B9946">
        <v>2389</v>
      </c>
      <c r="C9946" t="s">
        <v>15129</v>
      </c>
      <c r="D9946" t="s">
        <v>6168</v>
      </c>
    </row>
    <row r="9947" spans="1:4">
      <c r="A9947" t="s">
        <v>15130</v>
      </c>
      <c r="B9947">
        <v>416</v>
      </c>
      <c r="C9947" t="s">
        <v>15131</v>
      </c>
      <c r="D9947" t="s">
        <v>6168</v>
      </c>
    </row>
    <row r="9948" spans="1:4">
      <c r="A9948" t="s">
        <v>15132</v>
      </c>
      <c r="B9948">
        <v>417</v>
      </c>
      <c r="C9948" t="s">
        <v>15133</v>
      </c>
      <c r="D9948" t="s">
        <v>6168</v>
      </c>
    </row>
    <row r="9949" spans="1:4">
      <c r="A9949" t="s">
        <v>15134</v>
      </c>
      <c r="B9949">
        <v>418</v>
      </c>
      <c r="C9949" t="s">
        <v>15135</v>
      </c>
      <c r="D9949" t="s">
        <v>6168</v>
      </c>
    </row>
    <row r="9950" spans="1:4">
      <c r="A9950" t="s">
        <v>15136</v>
      </c>
      <c r="B9950">
        <v>419</v>
      </c>
      <c r="C9950" t="s">
        <v>8393</v>
      </c>
      <c r="D9950" t="s">
        <v>6168</v>
      </c>
    </row>
    <row r="9951" spans="1:4">
      <c r="A9951" t="s">
        <v>15137</v>
      </c>
      <c r="B9951">
        <v>3201</v>
      </c>
      <c r="C9951" t="s">
        <v>15138</v>
      </c>
      <c r="D9951" t="s">
        <v>6168</v>
      </c>
    </row>
    <row r="9952" spans="1:4">
      <c r="A9952" t="s">
        <v>15139</v>
      </c>
      <c r="B9952">
        <v>4231</v>
      </c>
      <c r="C9952" t="s">
        <v>15140</v>
      </c>
      <c r="D9952" t="s">
        <v>6168</v>
      </c>
    </row>
    <row r="9953" spans="1:4">
      <c r="A9953" t="s">
        <v>15141</v>
      </c>
      <c r="B9953">
        <v>4230</v>
      </c>
      <c r="C9953" t="s">
        <v>15142</v>
      </c>
      <c r="D9953" t="s">
        <v>6168</v>
      </c>
    </row>
    <row r="9954" spans="1:4">
      <c r="A9954" t="s">
        <v>15143</v>
      </c>
      <c r="B9954">
        <v>420</v>
      </c>
      <c r="C9954" t="s">
        <v>6760</v>
      </c>
      <c r="D9954" t="s">
        <v>6168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15144</v>
      </c>
      <c r="B9956">
        <v>25429</v>
      </c>
      <c r="C9956" t="s">
        <v>6679</v>
      </c>
      <c r="D9956" t="s">
        <v>6168</v>
      </c>
    </row>
    <row r="9957" spans="1:4">
      <c r="A9957" t="s">
        <v>15145</v>
      </c>
      <c r="B9957">
        <v>43545</v>
      </c>
      <c r="C9957" t="s">
        <v>15146</v>
      </c>
      <c r="D9957" t="s">
        <v>6243</v>
      </c>
    </row>
    <row r="9958" spans="1:4">
      <c r="A9958" t="s">
        <v>15147</v>
      </c>
      <c r="B9958">
        <v>4513</v>
      </c>
      <c r="C9958" t="s">
        <v>15148</v>
      </c>
      <c r="D9958" t="s">
        <v>6230</v>
      </c>
    </row>
    <row r="9959" spans="1:4">
      <c r="A9959" t="s">
        <v>17342</v>
      </c>
      <c r="B9959">
        <v>45436</v>
      </c>
      <c r="C9959" t="s">
        <v>17343</v>
      </c>
      <c r="D9959" t="s">
        <v>134</v>
      </c>
    </row>
    <row r="9960" spans="1:4">
      <c r="A9960" t="s">
        <v>17197</v>
      </c>
      <c r="B9960">
        <v>44551</v>
      </c>
      <c r="C9960" t="s">
        <v>5870</v>
      </c>
      <c r="D9960" t="s">
        <v>123</v>
      </c>
    </row>
    <row r="9961" spans="1:4">
      <c r="A9961" t="s">
        <v>17206</v>
      </c>
      <c r="B9961">
        <v>44567</v>
      </c>
      <c r="C9961" t="s">
        <v>17207</v>
      </c>
      <c r="D9961" t="s">
        <v>6168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15149</v>
      </c>
      <c r="B9963">
        <v>22679</v>
      </c>
      <c r="C9963" t="s">
        <v>7834</v>
      </c>
      <c r="D9963" t="s">
        <v>6168</v>
      </c>
    </row>
    <row r="9964" spans="1:4">
      <c r="A9964" t="s">
        <v>15150</v>
      </c>
      <c r="B9964">
        <v>22680</v>
      </c>
      <c r="C9964" t="s">
        <v>15151</v>
      </c>
      <c r="D9964" t="s">
        <v>6168</v>
      </c>
    </row>
    <row r="9965" spans="1:4">
      <c r="A9965" t="s">
        <v>15152</v>
      </c>
      <c r="B9965">
        <v>22681</v>
      </c>
      <c r="C9965" t="s">
        <v>15153</v>
      </c>
      <c r="D9965" t="s">
        <v>6168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15154</v>
      </c>
      <c r="B9968">
        <v>20562</v>
      </c>
      <c r="C9968" t="s">
        <v>15155</v>
      </c>
      <c r="D9968" t="s">
        <v>6168</v>
      </c>
    </row>
    <row r="9969" spans="1:4">
      <c r="A9969" t="s">
        <v>15156</v>
      </c>
      <c r="B9969">
        <v>19496</v>
      </c>
      <c r="C9969" t="s">
        <v>15157</v>
      </c>
      <c r="D9969" t="s">
        <v>6168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15158</v>
      </c>
      <c r="B9971">
        <v>20563</v>
      </c>
      <c r="C9971" t="s">
        <v>15159</v>
      </c>
      <c r="D9971" t="s">
        <v>6168</v>
      </c>
    </row>
    <row r="9972" spans="1:4">
      <c r="A9972" t="s">
        <v>15160</v>
      </c>
      <c r="B9972">
        <v>19362</v>
      </c>
      <c r="D9972" t="s">
        <v>6168</v>
      </c>
    </row>
    <row r="9973" spans="1:4">
      <c r="A9973" t="s">
        <v>15161</v>
      </c>
      <c r="B9973">
        <v>20397</v>
      </c>
      <c r="C9973" t="s">
        <v>15162</v>
      </c>
      <c r="D9973" t="s">
        <v>6168</v>
      </c>
    </row>
    <row r="9974" spans="1:4">
      <c r="A9974" t="s">
        <v>15163</v>
      </c>
      <c r="B9974">
        <v>19321</v>
      </c>
      <c r="C9974" t="s">
        <v>15164</v>
      </c>
      <c r="D9974" t="s">
        <v>6168</v>
      </c>
    </row>
    <row r="9975" spans="1:4">
      <c r="A9975" t="s">
        <v>15165</v>
      </c>
      <c r="B9975">
        <v>19363</v>
      </c>
      <c r="C9975" t="s">
        <v>4484</v>
      </c>
      <c r="D9975" t="s">
        <v>6168</v>
      </c>
    </row>
    <row r="9976" spans="1:4">
      <c r="A9976" t="s">
        <v>15166</v>
      </c>
      <c r="B9976">
        <v>19364</v>
      </c>
      <c r="D9976" t="s">
        <v>6168</v>
      </c>
    </row>
    <row r="9977" spans="1:4">
      <c r="A9977" t="s">
        <v>15167</v>
      </c>
      <c r="B9977">
        <v>19365</v>
      </c>
      <c r="D9977" t="s">
        <v>6168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15168</v>
      </c>
      <c r="B9979">
        <v>19366</v>
      </c>
      <c r="D9979" t="s">
        <v>6168</v>
      </c>
    </row>
    <row r="9980" spans="1:4">
      <c r="A9980" t="s">
        <v>15169</v>
      </c>
      <c r="B9980">
        <v>19322</v>
      </c>
      <c r="C9980" t="s">
        <v>15170</v>
      </c>
      <c r="D9980" t="s">
        <v>6168</v>
      </c>
    </row>
    <row r="9981" spans="1:4">
      <c r="A9981" t="s">
        <v>15171</v>
      </c>
      <c r="B9981">
        <v>31229</v>
      </c>
      <c r="C9981" t="s">
        <v>15172</v>
      </c>
      <c r="D9981" t="s">
        <v>6168</v>
      </c>
    </row>
    <row r="9982" spans="1:4">
      <c r="A9982" t="s">
        <v>15173</v>
      </c>
      <c r="B9982">
        <v>20347</v>
      </c>
      <c r="C9982" t="s">
        <v>6762</v>
      </c>
      <c r="D9982" t="s">
        <v>6168</v>
      </c>
    </row>
    <row r="9983" spans="1:4">
      <c r="A9983" t="s">
        <v>15174</v>
      </c>
      <c r="B9983">
        <v>3203</v>
      </c>
      <c r="C9983" t="s">
        <v>7329</v>
      </c>
      <c r="D9983" t="s">
        <v>6168</v>
      </c>
    </row>
    <row r="9984" spans="1:4">
      <c r="A9984" t="s">
        <v>15175</v>
      </c>
      <c r="B9984">
        <v>30111</v>
      </c>
      <c r="C9984" t="s">
        <v>2156</v>
      </c>
      <c r="D9984" t="s">
        <v>6168</v>
      </c>
    </row>
    <row r="9985" spans="1:4">
      <c r="A9985" t="s">
        <v>15176</v>
      </c>
      <c r="B9985">
        <v>9782</v>
      </c>
      <c r="C9985" t="s">
        <v>15177</v>
      </c>
      <c r="D9985" t="s">
        <v>6168</v>
      </c>
    </row>
    <row r="9986" spans="1:4">
      <c r="A9986" t="s">
        <v>15178</v>
      </c>
      <c r="B9986">
        <v>23773</v>
      </c>
      <c r="C9986" t="s">
        <v>2156</v>
      </c>
      <c r="D9986" t="s">
        <v>6168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15179</v>
      </c>
      <c r="B9988">
        <v>3204</v>
      </c>
      <c r="C9988" t="s">
        <v>16688</v>
      </c>
      <c r="D9988" t="s">
        <v>6168</v>
      </c>
    </row>
    <row r="9989" spans="1:4">
      <c r="A9989" t="s">
        <v>15180</v>
      </c>
      <c r="B9989">
        <v>30096</v>
      </c>
      <c r="C9989" t="s">
        <v>2156</v>
      </c>
      <c r="D9989" t="s">
        <v>6168</v>
      </c>
    </row>
    <row r="9990" spans="1:4">
      <c r="A9990" t="s">
        <v>15181</v>
      </c>
      <c r="B9990">
        <v>20348</v>
      </c>
      <c r="C9990" t="s">
        <v>2156</v>
      </c>
      <c r="D9990" t="s">
        <v>6168</v>
      </c>
    </row>
    <row r="9991" spans="1:4">
      <c r="A9991" t="s">
        <v>15182</v>
      </c>
      <c r="B9991">
        <v>20756</v>
      </c>
      <c r="C9991" t="s">
        <v>2018</v>
      </c>
      <c r="D9991" t="s">
        <v>6168</v>
      </c>
    </row>
    <row r="9992" spans="1:4">
      <c r="A9992" t="s">
        <v>15183</v>
      </c>
      <c r="B9992">
        <v>25787</v>
      </c>
      <c r="C9992" t="s">
        <v>2103</v>
      </c>
      <c r="D9992" t="s">
        <v>6168</v>
      </c>
    </row>
    <row r="9993" spans="1:4">
      <c r="A9993" t="s">
        <v>15184</v>
      </c>
      <c r="B9993">
        <v>3215</v>
      </c>
      <c r="C9993" t="s">
        <v>2103</v>
      </c>
      <c r="D9993" t="s">
        <v>6168</v>
      </c>
    </row>
    <row r="9994" spans="1:4">
      <c r="A9994" t="s">
        <v>15185</v>
      </c>
      <c r="B9994">
        <v>5237</v>
      </c>
      <c r="C9994" t="s">
        <v>15186</v>
      </c>
      <c r="D9994" t="s">
        <v>6248</v>
      </c>
    </row>
    <row r="9995" spans="1:4">
      <c r="A9995" t="s">
        <v>15187</v>
      </c>
      <c r="B9995">
        <v>3216</v>
      </c>
      <c r="C9995" t="s">
        <v>2018</v>
      </c>
      <c r="D9995" t="s">
        <v>6168</v>
      </c>
    </row>
    <row r="9996" spans="1:4">
      <c r="A9996" t="s">
        <v>15188</v>
      </c>
      <c r="B9996">
        <v>42605</v>
      </c>
      <c r="C9996" t="s">
        <v>6568</v>
      </c>
      <c r="D9996" t="s">
        <v>6168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15189</v>
      </c>
      <c r="B9998">
        <v>20543</v>
      </c>
      <c r="C9998" t="s">
        <v>1613</v>
      </c>
      <c r="D9998" t="s">
        <v>6314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15190</v>
      </c>
      <c r="B10000">
        <v>19345</v>
      </c>
      <c r="D10000" t="s">
        <v>6168</v>
      </c>
    </row>
    <row r="10001" spans="1:4">
      <c r="A10001" t="s">
        <v>15191</v>
      </c>
      <c r="B10001">
        <v>19346</v>
      </c>
      <c r="D10001" t="s">
        <v>6168</v>
      </c>
    </row>
    <row r="10002" spans="1:4">
      <c r="A10002" t="s">
        <v>15192</v>
      </c>
      <c r="B10002">
        <v>19347</v>
      </c>
      <c r="D10002" t="s">
        <v>6168</v>
      </c>
    </row>
    <row r="10003" spans="1:4">
      <c r="A10003" t="s">
        <v>15193</v>
      </c>
      <c r="B10003">
        <v>19348</v>
      </c>
      <c r="D10003" t="s">
        <v>6168</v>
      </c>
    </row>
    <row r="10004" spans="1:4">
      <c r="A10004" t="s">
        <v>15194</v>
      </c>
      <c r="B10004">
        <v>19349</v>
      </c>
      <c r="C10004" t="s">
        <v>1737</v>
      </c>
      <c r="D10004" t="s">
        <v>6168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15195</v>
      </c>
      <c r="B10006">
        <v>20353</v>
      </c>
      <c r="C10006" t="s">
        <v>15196</v>
      </c>
      <c r="D10006" t="s">
        <v>6168</v>
      </c>
    </row>
    <row r="10007" spans="1:4">
      <c r="A10007" t="s">
        <v>15197</v>
      </c>
      <c r="B10007">
        <v>29384</v>
      </c>
      <c r="C10007" t="s">
        <v>15198</v>
      </c>
      <c r="D10007" t="s">
        <v>6245</v>
      </c>
    </row>
    <row r="10008" spans="1:4">
      <c r="A10008" t="s">
        <v>15199</v>
      </c>
      <c r="B10008">
        <v>3328</v>
      </c>
      <c r="D10008" t="s">
        <v>6245</v>
      </c>
    </row>
    <row r="10009" spans="1:4">
      <c r="A10009" t="s">
        <v>17133</v>
      </c>
      <c r="B10009">
        <v>44390</v>
      </c>
      <c r="C10009" t="s">
        <v>16773</v>
      </c>
      <c r="D10009" t="s">
        <v>123</v>
      </c>
    </row>
    <row r="10010" spans="1:4">
      <c r="A10010" t="s">
        <v>17161</v>
      </c>
      <c r="B10010">
        <v>44461</v>
      </c>
      <c r="C10010" t="s">
        <v>17162</v>
      </c>
      <c r="D10010" t="s">
        <v>6168</v>
      </c>
    </row>
    <row r="10011" spans="1:4">
      <c r="A10011" t="s">
        <v>17079</v>
      </c>
      <c r="B10011">
        <v>44335</v>
      </c>
      <c r="C10011" t="s">
        <v>2333</v>
      </c>
      <c r="D10011" t="s">
        <v>134</v>
      </c>
    </row>
    <row r="10012" spans="1:4">
      <c r="A10012" t="s">
        <v>16790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15200</v>
      </c>
      <c r="B10016">
        <v>22683</v>
      </c>
      <c r="C10016" t="s">
        <v>8782</v>
      </c>
      <c r="D10016" t="s">
        <v>6168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17344</v>
      </c>
      <c r="B10018">
        <v>45438</v>
      </c>
      <c r="C10018" t="s">
        <v>17345</v>
      </c>
      <c r="D10018" t="s">
        <v>6168</v>
      </c>
    </row>
    <row r="10019" spans="1:4">
      <c r="A10019" t="s">
        <v>17346</v>
      </c>
      <c r="B10019">
        <v>45439</v>
      </c>
      <c r="C10019" t="s">
        <v>16436</v>
      </c>
      <c r="D10019" t="s">
        <v>6168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15201</v>
      </c>
      <c r="B10021">
        <v>40851</v>
      </c>
      <c r="C10021" t="s">
        <v>3728</v>
      </c>
      <c r="D10021" t="s">
        <v>6314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15202</v>
      </c>
      <c r="B10023">
        <v>2572</v>
      </c>
      <c r="C10023" t="s">
        <v>9537</v>
      </c>
      <c r="D10023" t="s">
        <v>6168</v>
      </c>
    </row>
    <row r="10024" spans="1:4">
      <c r="A10024" t="s">
        <v>15203</v>
      </c>
      <c r="B10024">
        <v>2573</v>
      </c>
      <c r="C10024" t="s">
        <v>15204</v>
      </c>
      <c r="D10024" t="s">
        <v>6168</v>
      </c>
    </row>
    <row r="10025" spans="1:4">
      <c r="A10025" t="s">
        <v>15205</v>
      </c>
      <c r="B10025">
        <v>2574</v>
      </c>
      <c r="C10025" t="s">
        <v>13223</v>
      </c>
      <c r="D10025" t="s">
        <v>6168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15206</v>
      </c>
      <c r="B10028">
        <v>3004</v>
      </c>
      <c r="C10028" t="s">
        <v>15207</v>
      </c>
      <c r="D10028" t="s">
        <v>6168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15208</v>
      </c>
      <c r="B10030">
        <v>26076</v>
      </c>
      <c r="C10030" t="s">
        <v>15209</v>
      </c>
      <c r="D10030" t="s">
        <v>6168</v>
      </c>
    </row>
    <row r="10031" spans="1:4">
      <c r="A10031" t="s">
        <v>15210</v>
      </c>
      <c r="B10031">
        <v>26075</v>
      </c>
      <c r="C10031" t="s">
        <v>15209</v>
      </c>
      <c r="D10031" t="s">
        <v>6168</v>
      </c>
    </row>
    <row r="10032" spans="1:4">
      <c r="A10032" t="s">
        <v>15211</v>
      </c>
      <c r="B10032">
        <v>25016</v>
      </c>
      <c r="C10032" t="s">
        <v>15212</v>
      </c>
      <c r="D10032" t="s">
        <v>6168</v>
      </c>
    </row>
    <row r="10033" spans="1:4">
      <c r="A10033" t="s">
        <v>15213</v>
      </c>
      <c r="B10033">
        <v>26074</v>
      </c>
      <c r="C10033" t="s">
        <v>6851</v>
      </c>
      <c r="D10033" t="s">
        <v>6168</v>
      </c>
    </row>
    <row r="10034" spans="1:4">
      <c r="A10034" t="s">
        <v>15214</v>
      </c>
      <c r="B10034">
        <v>41265</v>
      </c>
      <c r="C10034" t="s">
        <v>15215</v>
      </c>
      <c r="D10034" t="s">
        <v>6168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15216</v>
      </c>
      <c r="B10036">
        <v>29726</v>
      </c>
      <c r="C10036" t="s">
        <v>15217</v>
      </c>
      <c r="D10036" t="s">
        <v>6168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15218</v>
      </c>
      <c r="B10038">
        <v>26073</v>
      </c>
      <c r="C10038" t="s">
        <v>1237</v>
      </c>
      <c r="D10038" t="s">
        <v>6314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15219</v>
      </c>
      <c r="B10040">
        <v>23275</v>
      </c>
      <c r="D10040" t="s">
        <v>6314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15220</v>
      </c>
      <c r="B10042">
        <v>31783</v>
      </c>
      <c r="C10042" t="s">
        <v>11269</v>
      </c>
      <c r="D10042" t="s">
        <v>6168</v>
      </c>
    </row>
    <row r="10043" spans="1:4">
      <c r="A10043" t="s">
        <v>15221</v>
      </c>
      <c r="B10043">
        <v>22684</v>
      </c>
      <c r="C10043" t="s">
        <v>465</v>
      </c>
      <c r="D10043" t="s">
        <v>6314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15222</v>
      </c>
      <c r="B10047">
        <v>35404</v>
      </c>
      <c r="C10047" t="s">
        <v>6914</v>
      </c>
      <c r="D10047" t="s">
        <v>6168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15223</v>
      </c>
      <c r="B10049">
        <v>35573</v>
      </c>
      <c r="C10049" t="s">
        <v>10384</v>
      </c>
      <c r="D10049" t="s">
        <v>6168</v>
      </c>
    </row>
    <row r="10050" spans="1:4">
      <c r="A10050" t="s">
        <v>15224</v>
      </c>
      <c r="B10050">
        <v>35572</v>
      </c>
      <c r="C10050" t="s">
        <v>10384</v>
      </c>
      <c r="D10050" t="s">
        <v>6168</v>
      </c>
    </row>
    <row r="10051" spans="1:4">
      <c r="A10051" t="s">
        <v>15225</v>
      </c>
      <c r="B10051">
        <v>43546</v>
      </c>
      <c r="C10051" t="s">
        <v>11278</v>
      </c>
      <c r="D10051" t="s">
        <v>134</v>
      </c>
    </row>
    <row r="10052" spans="1:4">
      <c r="A10052" t="s">
        <v>15226</v>
      </c>
      <c r="B10052">
        <v>25655</v>
      </c>
      <c r="D10052" t="s">
        <v>6872</v>
      </c>
    </row>
    <row r="10053" spans="1:4">
      <c r="A10053" t="s">
        <v>15227</v>
      </c>
      <c r="B10053">
        <v>5238</v>
      </c>
      <c r="C10053" t="s">
        <v>551</v>
      </c>
      <c r="D10053" t="s">
        <v>6872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15228</v>
      </c>
      <c r="B10055">
        <v>30685</v>
      </c>
      <c r="C10055" t="s">
        <v>4950</v>
      </c>
      <c r="D10055" t="s">
        <v>6168</v>
      </c>
    </row>
    <row r="10056" spans="1:4">
      <c r="A10056" t="s">
        <v>15229</v>
      </c>
      <c r="B10056">
        <v>30832</v>
      </c>
      <c r="C10056" t="s">
        <v>15230</v>
      </c>
      <c r="D10056" t="s">
        <v>6168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15231</v>
      </c>
      <c r="B10058">
        <v>35660</v>
      </c>
      <c r="C10058" t="s">
        <v>15232</v>
      </c>
      <c r="D10058" t="s">
        <v>6168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15233</v>
      </c>
      <c r="B10060">
        <v>29354</v>
      </c>
      <c r="C10060" t="s">
        <v>15234</v>
      </c>
      <c r="D10060" t="s">
        <v>6168</v>
      </c>
    </row>
    <row r="10061" spans="1:4">
      <c r="A10061" t="s">
        <v>15235</v>
      </c>
      <c r="B10061">
        <v>30455</v>
      </c>
      <c r="C10061" t="s">
        <v>15236</v>
      </c>
      <c r="D10061" t="s">
        <v>6168</v>
      </c>
    </row>
    <row r="10062" spans="1:4">
      <c r="A10062" t="s">
        <v>15237</v>
      </c>
      <c r="B10062">
        <v>29383</v>
      </c>
      <c r="C10062" t="s">
        <v>4268</v>
      </c>
      <c r="D10062" t="s">
        <v>6168</v>
      </c>
    </row>
    <row r="10063" spans="1:4">
      <c r="A10063" t="s">
        <v>15238</v>
      </c>
      <c r="B10063">
        <v>24930</v>
      </c>
      <c r="C10063" t="s">
        <v>1359</v>
      </c>
      <c r="D10063" t="s">
        <v>6168</v>
      </c>
    </row>
    <row r="10064" spans="1:4">
      <c r="A10064" t="s">
        <v>15239</v>
      </c>
      <c r="B10064">
        <v>23921</v>
      </c>
      <c r="C10064" t="s">
        <v>15240</v>
      </c>
      <c r="D10064" t="s">
        <v>6168</v>
      </c>
    </row>
    <row r="10065" spans="1:4">
      <c r="A10065" t="s">
        <v>15241</v>
      </c>
      <c r="B10065">
        <v>29382</v>
      </c>
      <c r="C10065" t="s">
        <v>15242</v>
      </c>
      <c r="D10065" t="s">
        <v>6168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15243</v>
      </c>
      <c r="B10067">
        <v>24857</v>
      </c>
      <c r="C10067" t="s">
        <v>8431</v>
      </c>
      <c r="D10067" t="s">
        <v>6168</v>
      </c>
    </row>
    <row r="10068" spans="1:4">
      <c r="A10068" t="s">
        <v>15244</v>
      </c>
      <c r="B10068">
        <v>4259</v>
      </c>
      <c r="C10068" t="s">
        <v>6219</v>
      </c>
      <c r="D10068" t="s">
        <v>6168</v>
      </c>
    </row>
    <row r="10069" spans="1:4">
      <c r="A10069" t="s">
        <v>15245</v>
      </c>
      <c r="B10069">
        <v>23029</v>
      </c>
      <c r="C10069" t="s">
        <v>3152</v>
      </c>
      <c r="D10069" t="s">
        <v>6168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15246</v>
      </c>
      <c r="B10071">
        <v>23248</v>
      </c>
      <c r="D10071" t="s">
        <v>6245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15247</v>
      </c>
      <c r="B10074">
        <v>30684</v>
      </c>
      <c r="C10074" t="s">
        <v>15248</v>
      </c>
      <c r="D10074" t="s">
        <v>6168</v>
      </c>
    </row>
    <row r="10075" spans="1:4">
      <c r="A10075" t="s">
        <v>15249</v>
      </c>
      <c r="B10075">
        <v>30658</v>
      </c>
      <c r="C10075" t="s">
        <v>6554</v>
      </c>
      <c r="D10075" t="s">
        <v>6168</v>
      </c>
    </row>
    <row r="10076" spans="1:4">
      <c r="A10076" t="s">
        <v>15250</v>
      </c>
      <c r="B10076">
        <v>24858</v>
      </c>
      <c r="C10076" t="s">
        <v>1286</v>
      </c>
      <c r="D10076" t="s">
        <v>6267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15251</v>
      </c>
      <c r="B10079">
        <v>36282</v>
      </c>
      <c r="C10079" t="s">
        <v>9974</v>
      </c>
      <c r="D10079" t="s">
        <v>6168</v>
      </c>
    </row>
    <row r="10080" spans="1:4">
      <c r="A10080" t="s">
        <v>17347</v>
      </c>
      <c r="B10080">
        <v>45440</v>
      </c>
      <c r="C10080" t="s">
        <v>7102</v>
      </c>
      <c r="D10080" t="s">
        <v>6168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15252</v>
      </c>
      <c r="B10083">
        <v>24860</v>
      </c>
      <c r="C10083" t="s">
        <v>2927</v>
      </c>
      <c r="D10083" t="s">
        <v>6168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15253</v>
      </c>
      <c r="B10085">
        <v>30744</v>
      </c>
      <c r="C10085" t="s">
        <v>15254</v>
      </c>
      <c r="D10085" t="s">
        <v>6168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15255</v>
      </c>
      <c r="B10087">
        <v>38276</v>
      </c>
      <c r="C10087" t="s">
        <v>15256</v>
      </c>
      <c r="D10087" t="s">
        <v>6168</v>
      </c>
    </row>
    <row r="10088" spans="1:4">
      <c r="A10088" t="s">
        <v>15257</v>
      </c>
      <c r="B10088">
        <v>38275</v>
      </c>
      <c r="C10088" t="s">
        <v>14307</v>
      </c>
      <c r="D10088" t="s">
        <v>6168</v>
      </c>
    </row>
    <row r="10089" spans="1:4">
      <c r="A10089" t="s">
        <v>16996</v>
      </c>
      <c r="B10089">
        <v>44258</v>
      </c>
      <c r="C10089" t="s">
        <v>16997</v>
      </c>
      <c r="D10089" t="s">
        <v>123</v>
      </c>
    </row>
    <row r="10090" spans="1:4">
      <c r="A10090" t="s">
        <v>17080</v>
      </c>
      <c r="B10090">
        <v>44336</v>
      </c>
      <c r="C10090" t="s">
        <v>16997</v>
      </c>
      <c r="D10090" t="s">
        <v>6168</v>
      </c>
    </row>
    <row r="10091" spans="1:4">
      <c r="A10091" t="s">
        <v>16967</v>
      </c>
      <c r="B10091">
        <v>44032</v>
      </c>
      <c r="C10091" t="s">
        <v>16968</v>
      </c>
      <c r="D10091" t="s">
        <v>134</v>
      </c>
    </row>
    <row r="10092" spans="1:4">
      <c r="A10092" t="s">
        <v>15258</v>
      </c>
      <c r="B10092">
        <v>29381</v>
      </c>
      <c r="C10092" t="s">
        <v>15259</v>
      </c>
      <c r="D10092" t="s">
        <v>6245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15260</v>
      </c>
      <c r="B10094">
        <v>3021</v>
      </c>
      <c r="C10094" t="s">
        <v>15261</v>
      </c>
      <c r="D10094" t="s">
        <v>6168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15262</v>
      </c>
      <c r="B10098">
        <v>30461</v>
      </c>
      <c r="C10098" t="s">
        <v>15263</v>
      </c>
      <c r="D10098" t="s">
        <v>6168</v>
      </c>
    </row>
    <row r="10099" spans="1:4">
      <c r="A10099" t="s">
        <v>15264</v>
      </c>
      <c r="B10099">
        <v>24862</v>
      </c>
      <c r="C10099" t="s">
        <v>15265</v>
      </c>
      <c r="D10099" t="s">
        <v>6168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15266</v>
      </c>
      <c r="B10102">
        <v>29720</v>
      </c>
      <c r="C10102" t="s">
        <v>13112</v>
      </c>
      <c r="D10102" t="s">
        <v>6168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15267</v>
      </c>
      <c r="B10104">
        <v>4386</v>
      </c>
      <c r="C10104" t="s">
        <v>3295</v>
      </c>
      <c r="D10104" t="s">
        <v>6168</v>
      </c>
    </row>
    <row r="10105" spans="1:4">
      <c r="A10105" t="s">
        <v>15268</v>
      </c>
      <c r="B10105">
        <v>4387</v>
      </c>
      <c r="C10105" t="s">
        <v>15269</v>
      </c>
      <c r="D10105" t="s">
        <v>6168</v>
      </c>
    </row>
    <row r="10106" spans="1:4">
      <c r="A10106" t="s">
        <v>15270</v>
      </c>
      <c r="B10106">
        <v>4388</v>
      </c>
      <c r="C10106" t="s">
        <v>15271</v>
      </c>
      <c r="D10106" t="s">
        <v>6168</v>
      </c>
    </row>
    <row r="10107" spans="1:4">
      <c r="A10107" t="s">
        <v>15272</v>
      </c>
      <c r="B10107">
        <v>4389</v>
      </c>
      <c r="C10107" t="s">
        <v>15273</v>
      </c>
      <c r="D10107" t="s">
        <v>6168</v>
      </c>
    </row>
    <row r="10108" spans="1:4">
      <c r="A10108" t="s">
        <v>15274</v>
      </c>
      <c r="B10108">
        <v>4390</v>
      </c>
      <c r="C10108" t="s">
        <v>15275</v>
      </c>
      <c r="D10108" t="s">
        <v>6168</v>
      </c>
    </row>
    <row r="10109" spans="1:4">
      <c r="A10109" t="s">
        <v>15276</v>
      </c>
      <c r="B10109">
        <v>4391</v>
      </c>
      <c r="C10109" t="s">
        <v>15277</v>
      </c>
      <c r="D10109" t="s">
        <v>6168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15278</v>
      </c>
      <c r="B10111">
        <v>4382</v>
      </c>
      <c r="C10111" t="s">
        <v>697</v>
      </c>
      <c r="D10111" t="s">
        <v>6605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15279</v>
      </c>
      <c r="B10113">
        <v>30681</v>
      </c>
      <c r="C10113" t="s">
        <v>15280</v>
      </c>
      <c r="D10113" t="s">
        <v>6168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15281</v>
      </c>
      <c r="B10115">
        <v>30646</v>
      </c>
      <c r="C10115" t="s">
        <v>15282</v>
      </c>
      <c r="D10115" t="s">
        <v>6168</v>
      </c>
    </row>
    <row r="10116" spans="1:4">
      <c r="A10116" t="s">
        <v>15283</v>
      </c>
      <c r="B10116">
        <v>30705</v>
      </c>
      <c r="C10116" t="s">
        <v>2981</v>
      </c>
      <c r="D10116" t="s">
        <v>6168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15284</v>
      </c>
      <c r="B10118">
        <v>30636</v>
      </c>
      <c r="C10118" t="s">
        <v>7065</v>
      </c>
      <c r="D10118" t="s">
        <v>6168</v>
      </c>
    </row>
    <row r="10119" spans="1:4">
      <c r="A10119" t="s">
        <v>15285</v>
      </c>
      <c r="B10119">
        <v>35484</v>
      </c>
      <c r="C10119" t="s">
        <v>15286</v>
      </c>
      <c r="D10119" t="s">
        <v>6168</v>
      </c>
    </row>
    <row r="10120" spans="1:4">
      <c r="A10120" t="s">
        <v>17348</v>
      </c>
      <c r="B10120">
        <v>45441</v>
      </c>
      <c r="C10120" t="s">
        <v>17349</v>
      </c>
      <c r="D10120" t="s">
        <v>6168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15287</v>
      </c>
      <c r="B10122">
        <v>40443</v>
      </c>
      <c r="C10122" t="s">
        <v>15288</v>
      </c>
      <c r="D10122" t="s">
        <v>6168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15289</v>
      </c>
      <c r="B10124">
        <v>29500</v>
      </c>
      <c r="C10124" t="s">
        <v>3203</v>
      </c>
      <c r="D10124" t="s">
        <v>6168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15290</v>
      </c>
      <c r="B10126">
        <v>41711</v>
      </c>
      <c r="C10126" t="s">
        <v>15291</v>
      </c>
      <c r="D10126" t="s">
        <v>6168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15292</v>
      </c>
      <c r="B10133">
        <v>43547</v>
      </c>
      <c r="C10133" t="s">
        <v>15293</v>
      </c>
      <c r="D10133" t="s">
        <v>6168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15294</v>
      </c>
      <c r="B10135">
        <v>4430</v>
      </c>
      <c r="C10135" t="s">
        <v>10438</v>
      </c>
      <c r="D10135" t="s">
        <v>6168</v>
      </c>
    </row>
    <row r="10136" spans="1:4">
      <c r="A10136" t="s">
        <v>15295</v>
      </c>
      <c r="B10136">
        <v>4427</v>
      </c>
      <c r="C10136" t="s">
        <v>4594</v>
      </c>
      <c r="D10136" t="s">
        <v>6168</v>
      </c>
    </row>
    <row r="10137" spans="1:4">
      <c r="A10137" t="s">
        <v>15296</v>
      </c>
      <c r="B10137">
        <v>4428</v>
      </c>
      <c r="C10137" t="s">
        <v>4594</v>
      </c>
      <c r="D10137" t="s">
        <v>6168</v>
      </c>
    </row>
    <row r="10138" spans="1:4">
      <c r="A10138" t="s">
        <v>15297</v>
      </c>
      <c r="B10138">
        <v>4429</v>
      </c>
      <c r="C10138" t="s">
        <v>6554</v>
      </c>
      <c r="D10138" t="s">
        <v>6168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15298</v>
      </c>
      <c r="B10140">
        <v>39684</v>
      </c>
      <c r="C10140" t="s">
        <v>5533</v>
      </c>
      <c r="D10140" t="s">
        <v>6267</v>
      </c>
    </row>
    <row r="10141" spans="1:4">
      <c r="A10141" t="s">
        <v>15299</v>
      </c>
      <c r="B10141">
        <v>35325</v>
      </c>
      <c r="C10141" t="s">
        <v>5533</v>
      </c>
      <c r="D10141" t="s">
        <v>6314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15300</v>
      </c>
      <c r="B10143">
        <v>42235</v>
      </c>
      <c r="C10143" t="s">
        <v>7338</v>
      </c>
      <c r="D10143" t="s">
        <v>6168</v>
      </c>
    </row>
    <row r="10144" spans="1:4">
      <c r="A10144" t="s">
        <v>15301</v>
      </c>
      <c r="B10144">
        <v>43548</v>
      </c>
      <c r="C10144" t="s">
        <v>15302</v>
      </c>
      <c r="D10144" t="s">
        <v>6168</v>
      </c>
    </row>
    <row r="10145" spans="1:4">
      <c r="A10145" t="s">
        <v>15303</v>
      </c>
      <c r="B10145">
        <v>42392</v>
      </c>
      <c r="C10145" t="s">
        <v>15304</v>
      </c>
      <c r="D10145" t="s">
        <v>6241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15305</v>
      </c>
      <c r="B10148">
        <v>24865</v>
      </c>
      <c r="C10148" t="s">
        <v>15306</v>
      </c>
      <c r="D10148" t="s">
        <v>6168</v>
      </c>
    </row>
    <row r="10149" spans="1:4">
      <c r="A10149" t="s">
        <v>15307</v>
      </c>
      <c r="B10149">
        <v>24866</v>
      </c>
      <c r="C10149" t="s">
        <v>2930</v>
      </c>
      <c r="D10149" t="s">
        <v>6168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15308</v>
      </c>
      <c r="B10153">
        <v>33987</v>
      </c>
      <c r="C10153" t="s">
        <v>15309</v>
      </c>
      <c r="D10153" t="s">
        <v>6245</v>
      </c>
    </row>
    <row r="10154" spans="1:4">
      <c r="A10154" t="s">
        <v>15310</v>
      </c>
      <c r="B10154">
        <v>33988</v>
      </c>
      <c r="C10154" t="s">
        <v>15311</v>
      </c>
      <c r="D10154" t="s">
        <v>6245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15312</v>
      </c>
      <c r="B10156">
        <v>22688</v>
      </c>
      <c r="C10156" t="s">
        <v>5945</v>
      </c>
      <c r="D10156" t="s">
        <v>6168</v>
      </c>
    </row>
    <row r="10157" spans="1:4">
      <c r="A10157" t="s">
        <v>15313</v>
      </c>
      <c r="B10157">
        <v>31047</v>
      </c>
      <c r="C10157" t="s">
        <v>4950</v>
      </c>
      <c r="D10157" t="s">
        <v>6168</v>
      </c>
    </row>
    <row r="10158" spans="1:4">
      <c r="A10158" t="s">
        <v>15314</v>
      </c>
      <c r="B10158">
        <v>22689</v>
      </c>
      <c r="C10158" t="s">
        <v>3647</v>
      </c>
      <c r="D10158" t="s">
        <v>6168</v>
      </c>
    </row>
    <row r="10159" spans="1:4">
      <c r="A10159" t="s">
        <v>15315</v>
      </c>
      <c r="B10159">
        <v>22690</v>
      </c>
      <c r="C10159" t="s">
        <v>3447</v>
      </c>
      <c r="D10159" t="s">
        <v>6168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15316</v>
      </c>
      <c r="B10162">
        <v>22692</v>
      </c>
      <c r="C10162" t="s">
        <v>6239</v>
      </c>
      <c r="D10162" t="s">
        <v>6168</v>
      </c>
    </row>
    <row r="10163" spans="1:4">
      <c r="A10163" t="s">
        <v>15317</v>
      </c>
      <c r="B10163">
        <v>22693</v>
      </c>
      <c r="C10163" t="s">
        <v>7437</v>
      </c>
      <c r="D10163" t="s">
        <v>6168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15318</v>
      </c>
      <c r="B10165">
        <v>23131</v>
      </c>
      <c r="C10165" t="s">
        <v>13998</v>
      </c>
      <c r="D10165" t="s">
        <v>6605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15319</v>
      </c>
      <c r="B10167">
        <v>547</v>
      </c>
      <c r="C10167" t="s">
        <v>8630</v>
      </c>
      <c r="D10167" t="s">
        <v>6168</v>
      </c>
    </row>
    <row r="10168" spans="1:4">
      <c r="A10168" t="s">
        <v>15320</v>
      </c>
      <c r="B10168">
        <v>2482</v>
      </c>
      <c r="C10168" t="s">
        <v>15321</v>
      </c>
      <c r="D10168" t="s">
        <v>6168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15322</v>
      </c>
      <c r="B10172">
        <v>25241</v>
      </c>
      <c r="C10172" t="s">
        <v>10086</v>
      </c>
      <c r="D10172" t="s">
        <v>6168</v>
      </c>
    </row>
    <row r="10173" spans="1:4">
      <c r="A10173" t="s">
        <v>15323</v>
      </c>
      <c r="B10173">
        <v>43164</v>
      </c>
      <c r="C10173" t="s">
        <v>7741</v>
      </c>
      <c r="D10173" t="s">
        <v>6168</v>
      </c>
    </row>
    <row r="10174" spans="1:4">
      <c r="A10174" t="s">
        <v>15324</v>
      </c>
      <c r="B10174">
        <v>25242</v>
      </c>
      <c r="C10174" t="s">
        <v>15325</v>
      </c>
      <c r="D10174" t="s">
        <v>6168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15326</v>
      </c>
      <c r="B10176">
        <v>4355</v>
      </c>
      <c r="C10176" t="s">
        <v>15327</v>
      </c>
      <c r="D10176" t="s">
        <v>6168</v>
      </c>
    </row>
    <row r="10177" spans="1:4">
      <c r="A10177" t="s">
        <v>15328</v>
      </c>
      <c r="B10177">
        <v>4356</v>
      </c>
      <c r="C10177" t="s">
        <v>11636</v>
      </c>
      <c r="D10177" t="s">
        <v>6168</v>
      </c>
    </row>
    <row r="10178" spans="1:4">
      <c r="A10178" t="s">
        <v>15329</v>
      </c>
      <c r="B10178">
        <v>4357</v>
      </c>
      <c r="C10178" t="s">
        <v>3918</v>
      </c>
      <c r="D10178" t="s">
        <v>6168</v>
      </c>
    </row>
    <row r="10179" spans="1:4">
      <c r="A10179" t="s">
        <v>15330</v>
      </c>
      <c r="B10179">
        <v>4358</v>
      </c>
      <c r="C10179" t="s">
        <v>15331</v>
      </c>
      <c r="D10179" t="s">
        <v>6168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15332</v>
      </c>
      <c r="B10181">
        <v>30766</v>
      </c>
      <c r="C10181" t="s">
        <v>1143</v>
      </c>
      <c r="D10181" t="s">
        <v>6168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15333</v>
      </c>
      <c r="B10184">
        <v>30848</v>
      </c>
      <c r="C10184" t="s">
        <v>7800</v>
      </c>
      <c r="D10184" t="s">
        <v>6168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6248</v>
      </c>
    </row>
    <row r="10187" spans="1:4">
      <c r="A10187" t="s">
        <v>15334</v>
      </c>
      <c r="B10187">
        <v>43661</v>
      </c>
      <c r="C10187" t="s">
        <v>15335</v>
      </c>
      <c r="D10187" t="s">
        <v>6168</v>
      </c>
    </row>
    <row r="10188" spans="1:4">
      <c r="A10188" t="s">
        <v>15336</v>
      </c>
      <c r="B10188">
        <v>42389</v>
      </c>
      <c r="C10188" t="s">
        <v>15337</v>
      </c>
      <c r="D10188" t="s">
        <v>6168</v>
      </c>
    </row>
    <row r="10189" spans="1:4">
      <c r="A10189" t="s">
        <v>15338</v>
      </c>
      <c r="B10189">
        <v>42813</v>
      </c>
      <c r="C10189" t="s">
        <v>15339</v>
      </c>
      <c r="D10189" t="s">
        <v>6168</v>
      </c>
    </row>
    <row r="10190" spans="1:4">
      <c r="A10190" t="s">
        <v>15340</v>
      </c>
      <c r="B10190">
        <v>42814</v>
      </c>
      <c r="C10190" t="s">
        <v>15341</v>
      </c>
      <c r="D10190" t="s">
        <v>6168</v>
      </c>
    </row>
    <row r="10191" spans="1:4">
      <c r="A10191" t="s">
        <v>15342</v>
      </c>
      <c r="B10191">
        <v>29904</v>
      </c>
      <c r="C10191" t="s">
        <v>15335</v>
      </c>
      <c r="D10191" t="s">
        <v>6168</v>
      </c>
    </row>
    <row r="10192" spans="1:4">
      <c r="A10192" t="s">
        <v>15343</v>
      </c>
      <c r="B10192">
        <v>30804</v>
      </c>
      <c r="C10192" t="s">
        <v>15337</v>
      </c>
      <c r="D10192" t="s">
        <v>6168</v>
      </c>
    </row>
    <row r="10193" spans="1:4">
      <c r="A10193" t="s">
        <v>15344</v>
      </c>
      <c r="B10193">
        <v>29906</v>
      </c>
      <c r="C10193" t="s">
        <v>15339</v>
      </c>
      <c r="D10193" t="s">
        <v>6168</v>
      </c>
    </row>
    <row r="10194" spans="1:4">
      <c r="A10194" t="s">
        <v>15345</v>
      </c>
      <c r="B10194">
        <v>39625</v>
      </c>
      <c r="C10194" t="s">
        <v>15341</v>
      </c>
      <c r="D10194" t="s">
        <v>6168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15346</v>
      </c>
      <c r="B10196">
        <v>20544</v>
      </c>
      <c r="C10196" t="s">
        <v>1428</v>
      </c>
      <c r="D10196" t="s">
        <v>6168</v>
      </c>
    </row>
    <row r="10197" spans="1:4">
      <c r="A10197" t="s">
        <v>16749</v>
      </c>
      <c r="B10197">
        <v>43323</v>
      </c>
      <c r="D10197" t="s">
        <v>9775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15347</v>
      </c>
      <c r="B10199">
        <v>30441</v>
      </c>
      <c r="C10199" t="s">
        <v>4366</v>
      </c>
      <c r="D10199" t="s">
        <v>6314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15348</v>
      </c>
      <c r="B10201">
        <v>30748</v>
      </c>
      <c r="C10201" t="s">
        <v>6601</v>
      </c>
      <c r="D10201" t="s">
        <v>6168</v>
      </c>
    </row>
    <row r="10202" spans="1:4">
      <c r="A10202" t="s">
        <v>15349</v>
      </c>
      <c r="B10202">
        <v>43161</v>
      </c>
      <c r="D10202" t="s">
        <v>6314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15350</v>
      </c>
      <c r="B10205">
        <v>20599</v>
      </c>
      <c r="D10205" t="s">
        <v>6314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15351</v>
      </c>
      <c r="B10207">
        <v>2593</v>
      </c>
      <c r="D10207" t="s">
        <v>6168</v>
      </c>
    </row>
    <row r="10208" spans="1:4">
      <c r="A10208" t="s">
        <v>15352</v>
      </c>
      <c r="B10208">
        <v>2594</v>
      </c>
      <c r="C10208" t="s">
        <v>15353</v>
      </c>
      <c r="D10208" t="s">
        <v>6168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15354</v>
      </c>
      <c r="B10210">
        <v>20600</v>
      </c>
      <c r="C10210" t="s">
        <v>1756</v>
      </c>
      <c r="D10210" t="s">
        <v>6314</v>
      </c>
    </row>
    <row r="10211" spans="1:4">
      <c r="A10211" t="s">
        <v>15355</v>
      </c>
      <c r="B10211">
        <v>24290</v>
      </c>
      <c r="D10211" t="s">
        <v>6245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16906</v>
      </c>
      <c r="B10213">
        <v>43969</v>
      </c>
      <c r="C10213" t="s">
        <v>4556</v>
      </c>
      <c r="D10213" t="s">
        <v>6230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15356</v>
      </c>
      <c r="B10215">
        <v>29358</v>
      </c>
      <c r="C10215" t="s">
        <v>1379</v>
      </c>
      <c r="D10215" t="s">
        <v>6168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15357</v>
      </c>
      <c r="B10220">
        <v>30639</v>
      </c>
      <c r="C10220" t="s">
        <v>4181</v>
      </c>
      <c r="D10220" t="s">
        <v>6168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15358</v>
      </c>
      <c r="B10222">
        <v>35230</v>
      </c>
      <c r="C10222" t="s">
        <v>15359</v>
      </c>
      <c r="D10222" t="s">
        <v>6168</v>
      </c>
    </row>
    <row r="10223" spans="1:4">
      <c r="A10223" t="s">
        <v>15360</v>
      </c>
      <c r="B10223">
        <v>4233</v>
      </c>
      <c r="D10223" t="s">
        <v>6241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15361</v>
      </c>
      <c r="B10227">
        <v>33990</v>
      </c>
      <c r="C10227" t="s">
        <v>15362</v>
      </c>
      <c r="D10227" t="s">
        <v>6248</v>
      </c>
    </row>
    <row r="10228" spans="1:4">
      <c r="A10228" t="s">
        <v>15363</v>
      </c>
      <c r="B10228">
        <v>32568</v>
      </c>
      <c r="C10228" t="s">
        <v>8104</v>
      </c>
      <c r="D10228" t="s">
        <v>6168</v>
      </c>
    </row>
    <row r="10229" spans="1:4">
      <c r="A10229" t="s">
        <v>15364</v>
      </c>
      <c r="B10229">
        <v>24868</v>
      </c>
      <c r="D10229" t="s">
        <v>6248</v>
      </c>
    </row>
    <row r="10230" spans="1:4">
      <c r="A10230" t="s">
        <v>15365</v>
      </c>
      <c r="B10230">
        <v>30703</v>
      </c>
      <c r="C10230" t="s">
        <v>9865</v>
      </c>
      <c r="D10230" t="s">
        <v>6168</v>
      </c>
    </row>
    <row r="10231" spans="1:4">
      <c r="A10231" t="s">
        <v>15366</v>
      </c>
      <c r="B10231">
        <v>30702</v>
      </c>
      <c r="C10231" t="s">
        <v>15367</v>
      </c>
      <c r="D10231" t="s">
        <v>6168</v>
      </c>
    </row>
    <row r="10232" spans="1:4">
      <c r="A10232" t="s">
        <v>15368</v>
      </c>
      <c r="B10232">
        <v>25519</v>
      </c>
      <c r="C10232" t="s">
        <v>9198</v>
      </c>
      <c r="D10232" t="s">
        <v>6168</v>
      </c>
    </row>
    <row r="10233" spans="1:4">
      <c r="A10233" t="s">
        <v>15369</v>
      </c>
      <c r="B10233">
        <v>23031</v>
      </c>
      <c r="C10233" t="s">
        <v>7047</v>
      </c>
      <c r="D10233" t="s">
        <v>6168</v>
      </c>
    </row>
    <row r="10234" spans="1:4">
      <c r="A10234" t="s">
        <v>15370</v>
      </c>
      <c r="B10234">
        <v>23032</v>
      </c>
      <c r="C10234" t="s">
        <v>6985</v>
      </c>
      <c r="D10234" t="s">
        <v>6168</v>
      </c>
    </row>
    <row r="10235" spans="1:4">
      <c r="A10235" t="s">
        <v>15371</v>
      </c>
      <c r="B10235">
        <v>4268</v>
      </c>
      <c r="D10235" t="s">
        <v>6168</v>
      </c>
    </row>
    <row r="10236" spans="1:4">
      <c r="A10236" t="s">
        <v>15372</v>
      </c>
      <c r="B10236">
        <v>23033</v>
      </c>
      <c r="C10236" t="s">
        <v>13374</v>
      </c>
      <c r="D10236" t="s">
        <v>6168</v>
      </c>
    </row>
    <row r="10237" spans="1:4">
      <c r="A10237" t="s">
        <v>15373</v>
      </c>
      <c r="B10237">
        <v>4269</v>
      </c>
      <c r="C10237" t="s">
        <v>15374</v>
      </c>
      <c r="D10237" t="s">
        <v>6168</v>
      </c>
    </row>
    <row r="10238" spans="1:4">
      <c r="A10238" t="s">
        <v>15375</v>
      </c>
      <c r="B10238">
        <v>4270</v>
      </c>
      <c r="C10238" t="s">
        <v>15376</v>
      </c>
      <c r="D10238" t="s">
        <v>6168</v>
      </c>
    </row>
    <row r="10239" spans="1:4">
      <c r="A10239" t="s">
        <v>15377</v>
      </c>
      <c r="B10239">
        <v>43017</v>
      </c>
      <c r="C10239" t="s">
        <v>15378</v>
      </c>
      <c r="D10239" t="s">
        <v>6168</v>
      </c>
    </row>
    <row r="10240" spans="1:4">
      <c r="A10240" t="s">
        <v>15379</v>
      </c>
      <c r="B10240">
        <v>29377</v>
      </c>
      <c r="C10240" t="s">
        <v>15380</v>
      </c>
      <c r="D10240" t="s">
        <v>6168</v>
      </c>
    </row>
    <row r="10241" spans="1:4">
      <c r="A10241" t="s">
        <v>15381</v>
      </c>
      <c r="B10241">
        <v>29738</v>
      </c>
      <c r="C10241" t="s">
        <v>15382</v>
      </c>
      <c r="D10241" t="s">
        <v>6168</v>
      </c>
    </row>
    <row r="10242" spans="1:4">
      <c r="A10242" t="s">
        <v>15383</v>
      </c>
      <c r="B10242">
        <v>23034</v>
      </c>
      <c r="C10242" t="s">
        <v>15384</v>
      </c>
      <c r="D10242" t="s">
        <v>6168</v>
      </c>
    </row>
    <row r="10243" spans="1:4">
      <c r="A10243" t="s">
        <v>15385</v>
      </c>
      <c r="B10243">
        <v>23035</v>
      </c>
      <c r="C10243" t="s">
        <v>8104</v>
      </c>
      <c r="D10243" t="s">
        <v>6168</v>
      </c>
    </row>
    <row r="10244" spans="1:4">
      <c r="A10244" t="s">
        <v>15386</v>
      </c>
      <c r="B10244">
        <v>29175</v>
      </c>
      <c r="C10244" t="s">
        <v>3130</v>
      </c>
      <c r="D10244" t="s">
        <v>6168</v>
      </c>
    </row>
    <row r="10245" spans="1:4">
      <c r="A10245" t="s">
        <v>15387</v>
      </c>
      <c r="B10245">
        <v>29376</v>
      </c>
      <c r="C10245" t="s">
        <v>3130</v>
      </c>
      <c r="D10245" t="s">
        <v>6168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15388</v>
      </c>
      <c r="B10247">
        <v>23926</v>
      </c>
      <c r="C10247" t="s">
        <v>7741</v>
      </c>
      <c r="D10247" t="s">
        <v>6168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15389</v>
      </c>
      <c r="B10249">
        <v>30452</v>
      </c>
      <c r="C10249" t="s">
        <v>15390</v>
      </c>
      <c r="D10249" t="s">
        <v>6168</v>
      </c>
    </row>
    <row r="10250" spans="1:4">
      <c r="A10250" t="s">
        <v>15391</v>
      </c>
      <c r="B10250">
        <v>35348</v>
      </c>
      <c r="C10250" t="s">
        <v>15392</v>
      </c>
      <c r="D10250" t="s">
        <v>6449</v>
      </c>
    </row>
    <row r="10251" spans="1:4">
      <c r="A10251" t="s">
        <v>15393</v>
      </c>
      <c r="B10251">
        <v>25678</v>
      </c>
      <c r="C10251" t="s">
        <v>6689</v>
      </c>
      <c r="D10251" t="s">
        <v>6168</v>
      </c>
    </row>
    <row r="10252" spans="1:4">
      <c r="A10252" t="s">
        <v>15394</v>
      </c>
      <c r="B10252">
        <v>26071</v>
      </c>
      <c r="C10252" t="s">
        <v>12073</v>
      </c>
      <c r="D10252" t="s">
        <v>6168</v>
      </c>
    </row>
    <row r="10253" spans="1:4">
      <c r="A10253" t="s">
        <v>15395</v>
      </c>
      <c r="B10253">
        <v>25244</v>
      </c>
      <c r="C10253" t="s">
        <v>7065</v>
      </c>
      <c r="D10253" t="s">
        <v>6168</v>
      </c>
    </row>
    <row r="10254" spans="1:4">
      <c r="A10254" t="s">
        <v>15396</v>
      </c>
      <c r="B10254">
        <v>25245</v>
      </c>
      <c r="C10254" t="s">
        <v>6491</v>
      </c>
      <c r="D10254" t="s">
        <v>6168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15397</v>
      </c>
      <c r="B10256">
        <v>29374</v>
      </c>
      <c r="D10256" t="s">
        <v>6248</v>
      </c>
    </row>
    <row r="10257" spans="1:4">
      <c r="A10257" t="s">
        <v>15398</v>
      </c>
      <c r="B10257">
        <v>24870</v>
      </c>
      <c r="C10257" t="s">
        <v>1342</v>
      </c>
      <c r="D10257" t="s">
        <v>6248</v>
      </c>
    </row>
    <row r="10258" spans="1:4">
      <c r="A10258" t="s">
        <v>15399</v>
      </c>
      <c r="B10258">
        <v>31823</v>
      </c>
      <c r="C10258" t="s">
        <v>6394</v>
      </c>
      <c r="D10258" t="s">
        <v>6168</v>
      </c>
    </row>
    <row r="10259" spans="1:4">
      <c r="A10259" t="s">
        <v>15400</v>
      </c>
      <c r="B10259">
        <v>23421</v>
      </c>
      <c r="C10259" t="s">
        <v>6394</v>
      </c>
      <c r="D10259" t="s">
        <v>6168</v>
      </c>
    </row>
    <row r="10260" spans="1:4">
      <c r="A10260" t="s">
        <v>15401</v>
      </c>
      <c r="B10260">
        <v>29497</v>
      </c>
      <c r="C10260" t="s">
        <v>15402</v>
      </c>
      <c r="D10260" t="s">
        <v>6168</v>
      </c>
    </row>
    <row r="10261" spans="1:4">
      <c r="A10261" t="s">
        <v>15403</v>
      </c>
      <c r="B10261">
        <v>30466</v>
      </c>
      <c r="C10261" t="s">
        <v>7645</v>
      </c>
      <c r="D10261" t="s">
        <v>6168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15404</v>
      </c>
      <c r="B10265">
        <v>31471</v>
      </c>
      <c r="C10265" t="s">
        <v>7355</v>
      </c>
      <c r="D10265" t="s">
        <v>6168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15405</v>
      </c>
      <c r="B10267">
        <v>23037</v>
      </c>
      <c r="C10267" t="s">
        <v>8477</v>
      </c>
      <c r="D10267" t="s">
        <v>6168</v>
      </c>
    </row>
    <row r="10268" spans="1:4">
      <c r="A10268" t="s">
        <v>15406</v>
      </c>
      <c r="B10268">
        <v>4568</v>
      </c>
      <c r="C10268" t="s">
        <v>6851</v>
      </c>
      <c r="D10268" t="s">
        <v>6168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16969</v>
      </c>
      <c r="B10270">
        <v>44034</v>
      </c>
      <c r="C10270" t="s">
        <v>2811</v>
      </c>
      <c r="D10270" t="s">
        <v>123</v>
      </c>
    </row>
    <row r="10271" spans="1:4">
      <c r="A10271" t="s">
        <v>16998</v>
      </c>
      <c r="B10271">
        <v>44259</v>
      </c>
      <c r="C10271" t="s">
        <v>6373</v>
      </c>
      <c r="D10271" t="s">
        <v>6168</v>
      </c>
    </row>
    <row r="10272" spans="1:4">
      <c r="A10272" t="s">
        <v>16907</v>
      </c>
      <c r="B10272">
        <v>43971</v>
      </c>
      <c r="C10272" t="s">
        <v>2705</v>
      </c>
      <c r="D10272" t="s">
        <v>134</v>
      </c>
    </row>
    <row r="10273" spans="1:4">
      <c r="A10273" t="s">
        <v>15407</v>
      </c>
      <c r="B10273">
        <v>42953</v>
      </c>
      <c r="C10273" t="s">
        <v>6064</v>
      </c>
      <c r="D10273" t="s">
        <v>6230</v>
      </c>
    </row>
    <row r="10274" spans="1:4">
      <c r="A10274" t="s">
        <v>15408</v>
      </c>
      <c r="B10274">
        <v>43553</v>
      </c>
      <c r="C10274" t="s">
        <v>3371</v>
      </c>
      <c r="D10274" t="s">
        <v>6314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15409</v>
      </c>
      <c r="B10276">
        <v>40440</v>
      </c>
      <c r="C10276" t="s">
        <v>15410</v>
      </c>
      <c r="D10276" t="s">
        <v>6168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15411</v>
      </c>
      <c r="B10278">
        <v>33985</v>
      </c>
      <c r="C10278" t="s">
        <v>8741</v>
      </c>
      <c r="D10278" t="s">
        <v>6168</v>
      </c>
    </row>
    <row r="10279" spans="1:4">
      <c r="A10279" t="s">
        <v>15412</v>
      </c>
      <c r="B10279">
        <v>30511</v>
      </c>
      <c r="C10279" t="s">
        <v>15413</v>
      </c>
      <c r="D10279" t="s">
        <v>6168</v>
      </c>
    </row>
    <row r="10280" spans="1:4">
      <c r="A10280" t="s">
        <v>15414</v>
      </c>
      <c r="B10280">
        <v>29879</v>
      </c>
      <c r="C10280" t="s">
        <v>2374</v>
      </c>
      <c r="D10280" t="s">
        <v>6168</v>
      </c>
    </row>
    <row r="10281" spans="1:4">
      <c r="A10281" t="s">
        <v>15415</v>
      </c>
      <c r="B10281">
        <v>30645</v>
      </c>
      <c r="C10281" t="s">
        <v>2705</v>
      </c>
      <c r="D10281" t="s">
        <v>6168</v>
      </c>
    </row>
    <row r="10282" spans="1:4">
      <c r="A10282" t="s">
        <v>15416</v>
      </c>
      <c r="B10282">
        <v>40439</v>
      </c>
      <c r="C10282" t="s">
        <v>4950</v>
      </c>
      <c r="D10282" t="s">
        <v>6168</v>
      </c>
    </row>
    <row r="10283" spans="1:4">
      <c r="A10283" t="s">
        <v>15417</v>
      </c>
      <c r="B10283">
        <v>39810</v>
      </c>
      <c r="C10283" t="s">
        <v>1169</v>
      </c>
      <c r="D10283" t="s">
        <v>6314</v>
      </c>
    </row>
    <row r="10284" spans="1:4">
      <c r="A10284" t="s">
        <v>15418</v>
      </c>
      <c r="B10284">
        <v>29586</v>
      </c>
      <c r="C10284" t="s">
        <v>12697</v>
      </c>
      <c r="D10284" t="s">
        <v>6292</v>
      </c>
    </row>
    <row r="10285" spans="1:4">
      <c r="A10285" t="s">
        <v>15419</v>
      </c>
      <c r="B10285">
        <v>29306</v>
      </c>
      <c r="C10285" t="s">
        <v>12697</v>
      </c>
      <c r="D10285" t="s">
        <v>6230</v>
      </c>
    </row>
    <row r="10286" spans="1:4">
      <c r="A10286" t="s">
        <v>15420</v>
      </c>
      <c r="B10286">
        <v>40438</v>
      </c>
      <c r="C10286" t="s">
        <v>1169</v>
      </c>
      <c r="D10286" t="s">
        <v>6314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15421</v>
      </c>
      <c r="B10288">
        <v>3299</v>
      </c>
      <c r="C10288" t="s">
        <v>6424</v>
      </c>
      <c r="D10288" t="s">
        <v>6168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15422</v>
      </c>
      <c r="B10290">
        <v>39609</v>
      </c>
      <c r="C10290" t="s">
        <v>692</v>
      </c>
      <c r="D10290" t="s">
        <v>6267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15423</v>
      </c>
      <c r="B10292">
        <v>4041</v>
      </c>
      <c r="C10292" t="s">
        <v>4950</v>
      </c>
      <c r="D10292" t="s">
        <v>6168</v>
      </c>
    </row>
    <row r="10293" spans="1:4">
      <c r="A10293" t="s">
        <v>15424</v>
      </c>
      <c r="B10293">
        <v>4042</v>
      </c>
      <c r="C10293" t="s">
        <v>7364</v>
      </c>
      <c r="D10293" t="s">
        <v>6168</v>
      </c>
    </row>
    <row r="10294" spans="1:4">
      <c r="A10294" t="s">
        <v>15425</v>
      </c>
      <c r="B10294">
        <v>4159</v>
      </c>
      <c r="C10294" t="s">
        <v>15426</v>
      </c>
      <c r="D10294" t="s">
        <v>6605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15427</v>
      </c>
      <c r="B10296">
        <v>43554</v>
      </c>
      <c r="C10296" t="s">
        <v>6546</v>
      </c>
      <c r="D10296" t="s">
        <v>6168</v>
      </c>
    </row>
    <row r="10297" spans="1:4">
      <c r="A10297" t="s">
        <v>15428</v>
      </c>
      <c r="B10297">
        <v>39480</v>
      </c>
      <c r="C10297" t="s">
        <v>1079</v>
      </c>
      <c r="D10297" t="s">
        <v>6241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15429</v>
      </c>
      <c r="B10299">
        <v>1019</v>
      </c>
      <c r="C10299" t="s">
        <v>9020</v>
      </c>
      <c r="D10299" t="s">
        <v>6168</v>
      </c>
    </row>
    <row r="10300" spans="1:4">
      <c r="A10300" t="s">
        <v>15430</v>
      </c>
      <c r="B10300">
        <v>4532</v>
      </c>
      <c r="D10300" t="s">
        <v>6245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15431</v>
      </c>
      <c r="B10302">
        <v>35392</v>
      </c>
      <c r="C10302" t="s">
        <v>15432</v>
      </c>
      <c r="D10302" t="s">
        <v>6168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15433</v>
      </c>
      <c r="B10304">
        <v>40437</v>
      </c>
      <c r="C10304" t="s">
        <v>15434</v>
      </c>
      <c r="D10304" t="s">
        <v>6168</v>
      </c>
    </row>
    <row r="10305" spans="1:4">
      <c r="A10305" t="s">
        <v>15435</v>
      </c>
      <c r="B10305">
        <v>22695</v>
      </c>
      <c r="C10305" t="s">
        <v>8528</v>
      </c>
      <c r="D10305" t="s">
        <v>6168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15436</v>
      </c>
      <c r="B10307">
        <v>33983</v>
      </c>
      <c r="C10307" t="s">
        <v>3067</v>
      </c>
      <c r="D10307" t="s">
        <v>6267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15437</v>
      </c>
      <c r="B10309">
        <v>30709</v>
      </c>
      <c r="C10309" t="s">
        <v>4950</v>
      </c>
      <c r="D10309" t="s">
        <v>6168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15438</v>
      </c>
      <c r="B10311">
        <v>22698</v>
      </c>
      <c r="C10311" t="s">
        <v>6558</v>
      </c>
      <c r="D10311" t="s">
        <v>6168</v>
      </c>
    </row>
    <row r="10312" spans="1:4">
      <c r="A10312" t="s">
        <v>15439</v>
      </c>
      <c r="B10312">
        <v>22699</v>
      </c>
      <c r="C10312" t="s">
        <v>7145</v>
      </c>
      <c r="D10312" t="s">
        <v>6168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15440</v>
      </c>
      <c r="B10314">
        <v>35391</v>
      </c>
      <c r="C10314" t="s">
        <v>15441</v>
      </c>
      <c r="D10314" t="s">
        <v>6168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15442</v>
      </c>
      <c r="B10316">
        <v>35653</v>
      </c>
      <c r="C10316" t="s">
        <v>15443</v>
      </c>
      <c r="D10316" t="s">
        <v>6168</v>
      </c>
    </row>
    <row r="10317" spans="1:4">
      <c r="A10317" t="s">
        <v>15444</v>
      </c>
      <c r="B10317">
        <v>32505</v>
      </c>
      <c r="C10317" t="s">
        <v>5745</v>
      </c>
      <c r="D10317" t="s">
        <v>6230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15445</v>
      </c>
      <c r="B10320">
        <v>4086</v>
      </c>
      <c r="C10320" t="s">
        <v>1273</v>
      </c>
      <c r="D10320" t="s">
        <v>6168</v>
      </c>
    </row>
    <row r="10321" spans="1:4">
      <c r="A10321" t="s">
        <v>15446</v>
      </c>
      <c r="B10321">
        <v>4595</v>
      </c>
      <c r="C10321" t="s">
        <v>15447</v>
      </c>
      <c r="D10321" t="s">
        <v>6245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15448</v>
      </c>
      <c r="B10324">
        <v>26070</v>
      </c>
      <c r="C10324" t="s">
        <v>3966</v>
      </c>
      <c r="D10324" t="s">
        <v>6168</v>
      </c>
    </row>
    <row r="10325" spans="1:4">
      <c r="A10325" t="s">
        <v>15449</v>
      </c>
      <c r="B10325">
        <v>43027</v>
      </c>
      <c r="C10325" t="s">
        <v>1466</v>
      </c>
      <c r="D10325" t="s">
        <v>6168</v>
      </c>
    </row>
    <row r="10326" spans="1:4">
      <c r="A10326" t="s">
        <v>15450</v>
      </c>
      <c r="B10326">
        <v>4598</v>
      </c>
      <c r="C10326" t="s">
        <v>13345</v>
      </c>
      <c r="D10326" t="s">
        <v>6245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15451</v>
      </c>
      <c r="B10329">
        <v>10225</v>
      </c>
      <c r="C10329" t="s">
        <v>15452</v>
      </c>
      <c r="D10329" t="s">
        <v>6168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17163</v>
      </c>
      <c r="B10332">
        <v>44462</v>
      </c>
      <c r="C10332" t="s">
        <v>1073</v>
      </c>
      <c r="D10332" t="s">
        <v>134</v>
      </c>
    </row>
    <row r="10333" spans="1:4">
      <c r="A10333" t="s">
        <v>15453</v>
      </c>
      <c r="B10333">
        <v>25246</v>
      </c>
      <c r="C10333" t="s">
        <v>1073</v>
      </c>
      <c r="D10333" t="s">
        <v>6314</v>
      </c>
    </row>
    <row r="10334" spans="1:4">
      <c r="A10334" t="s">
        <v>15454</v>
      </c>
      <c r="B10334">
        <v>23152</v>
      </c>
      <c r="C10334" t="s">
        <v>15455</v>
      </c>
      <c r="D10334" t="s">
        <v>6245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15456</v>
      </c>
      <c r="B10336">
        <v>41619</v>
      </c>
      <c r="C10336" t="s">
        <v>1402</v>
      </c>
      <c r="D10336" t="s">
        <v>6168</v>
      </c>
    </row>
    <row r="10337" spans="1:4">
      <c r="A10337" t="s">
        <v>15457</v>
      </c>
      <c r="B10337">
        <v>41620</v>
      </c>
      <c r="C10337" t="s">
        <v>461</v>
      </c>
      <c r="D10337" t="s">
        <v>6168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15458</v>
      </c>
      <c r="B10339">
        <v>2375</v>
      </c>
      <c r="C10339" t="s">
        <v>15459</v>
      </c>
      <c r="D10339" t="s">
        <v>6168</v>
      </c>
    </row>
    <row r="10340" spans="1:4">
      <c r="A10340" t="s">
        <v>15460</v>
      </c>
      <c r="B10340">
        <v>323</v>
      </c>
      <c r="C10340" t="s">
        <v>15461</v>
      </c>
      <c r="D10340" t="s">
        <v>6168</v>
      </c>
    </row>
    <row r="10341" spans="1:4">
      <c r="A10341" t="s">
        <v>15462</v>
      </c>
      <c r="B10341">
        <v>324</v>
      </c>
      <c r="C10341" t="s">
        <v>15463</v>
      </c>
      <c r="D10341" t="s">
        <v>6168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15464</v>
      </c>
      <c r="B10343">
        <v>20545</v>
      </c>
      <c r="C10343" t="s">
        <v>15465</v>
      </c>
      <c r="D10343" t="s">
        <v>6314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15466</v>
      </c>
      <c r="B10345">
        <v>40436</v>
      </c>
      <c r="C10345" t="s">
        <v>1073</v>
      </c>
      <c r="D10345" t="s">
        <v>6314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15467</v>
      </c>
      <c r="B10347">
        <v>31272</v>
      </c>
      <c r="C10347" t="s">
        <v>3113</v>
      </c>
      <c r="D10347" t="s">
        <v>6168</v>
      </c>
    </row>
    <row r="10348" spans="1:4">
      <c r="A10348" t="s">
        <v>15468</v>
      </c>
      <c r="B10348">
        <v>25247</v>
      </c>
      <c r="C10348" t="s">
        <v>2374</v>
      </c>
      <c r="D10348" t="s">
        <v>6168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15469</v>
      </c>
      <c r="B10351">
        <v>25676</v>
      </c>
      <c r="C10351" t="s">
        <v>15470</v>
      </c>
      <c r="D10351" t="s">
        <v>6168</v>
      </c>
    </row>
    <row r="10352" spans="1:4">
      <c r="A10352" t="s">
        <v>15471</v>
      </c>
      <c r="B10352">
        <v>25677</v>
      </c>
      <c r="C10352" t="s">
        <v>6762</v>
      </c>
      <c r="D10352" t="s">
        <v>6168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15472</v>
      </c>
      <c r="B10354">
        <v>43081</v>
      </c>
      <c r="C10354" t="s">
        <v>8484</v>
      </c>
      <c r="D10354" t="s">
        <v>6168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15473</v>
      </c>
      <c r="B10356">
        <v>30740</v>
      </c>
      <c r="C10356" t="s">
        <v>15474</v>
      </c>
      <c r="D10356" t="s">
        <v>6168</v>
      </c>
    </row>
    <row r="10357" spans="1:4">
      <c r="A10357" t="s">
        <v>15475</v>
      </c>
      <c r="B10357">
        <v>30741</v>
      </c>
      <c r="C10357" t="s">
        <v>15476</v>
      </c>
      <c r="D10357" t="s">
        <v>6168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15477</v>
      </c>
      <c r="B10360">
        <v>29694</v>
      </c>
      <c r="C10360" t="s">
        <v>15478</v>
      </c>
      <c r="D10360" t="s">
        <v>6168</v>
      </c>
    </row>
    <row r="10361" spans="1:4">
      <c r="A10361" t="s">
        <v>15479</v>
      </c>
      <c r="B10361">
        <v>40435</v>
      </c>
      <c r="C10361" t="s">
        <v>6512</v>
      </c>
      <c r="D10361" t="s">
        <v>6168</v>
      </c>
    </row>
    <row r="10362" spans="1:4">
      <c r="A10362" t="s">
        <v>15480</v>
      </c>
      <c r="B10362">
        <v>30405</v>
      </c>
      <c r="C10362" t="s">
        <v>15481</v>
      </c>
      <c r="D10362" t="s">
        <v>6168</v>
      </c>
    </row>
    <row r="10363" spans="1:4">
      <c r="A10363" t="s">
        <v>15482</v>
      </c>
      <c r="B10363">
        <v>29670</v>
      </c>
      <c r="C10363" t="s">
        <v>15483</v>
      </c>
      <c r="D10363" t="s">
        <v>6168</v>
      </c>
    </row>
    <row r="10364" spans="1:4">
      <c r="A10364" t="s">
        <v>15484</v>
      </c>
      <c r="B10364">
        <v>29758</v>
      </c>
      <c r="C10364" t="s">
        <v>4950</v>
      </c>
      <c r="D10364" t="s">
        <v>6168</v>
      </c>
    </row>
    <row r="10365" spans="1:4">
      <c r="A10365" t="s">
        <v>15485</v>
      </c>
      <c r="B10365">
        <v>42816</v>
      </c>
      <c r="C10365" t="s">
        <v>7808</v>
      </c>
      <c r="D10365" t="s">
        <v>6168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15486</v>
      </c>
      <c r="B10367">
        <v>29762</v>
      </c>
      <c r="C10367" t="s">
        <v>6548</v>
      </c>
      <c r="D10367" t="s">
        <v>6168</v>
      </c>
    </row>
    <row r="10368" spans="1:4">
      <c r="A10368" t="s">
        <v>15487</v>
      </c>
      <c r="B10368">
        <v>29746</v>
      </c>
      <c r="C10368" t="s">
        <v>6548</v>
      </c>
      <c r="D10368" t="s">
        <v>6168</v>
      </c>
    </row>
    <row r="10369" spans="1:4">
      <c r="A10369" t="s">
        <v>15488</v>
      </c>
      <c r="B10369">
        <v>30241</v>
      </c>
      <c r="C10369" t="s">
        <v>172</v>
      </c>
      <c r="D10369" t="s">
        <v>6168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15489</v>
      </c>
      <c r="B10372">
        <v>41956</v>
      </c>
      <c r="C10372" t="s">
        <v>5104</v>
      </c>
      <c r="D10372" t="s">
        <v>6168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15490</v>
      </c>
      <c r="B10374">
        <v>23153</v>
      </c>
      <c r="C10374" t="s">
        <v>1079</v>
      </c>
      <c r="D10374" t="s">
        <v>6245</v>
      </c>
    </row>
    <row r="10375" spans="1:4">
      <c r="A10375" t="s">
        <v>15491</v>
      </c>
      <c r="B10375">
        <v>30433</v>
      </c>
      <c r="C10375" t="s">
        <v>15492</v>
      </c>
      <c r="D10375" t="s">
        <v>6230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15493</v>
      </c>
      <c r="B10377">
        <v>2368</v>
      </c>
      <c r="C10377" t="s">
        <v>15494</v>
      </c>
      <c r="D10377" t="s">
        <v>6168</v>
      </c>
    </row>
    <row r="10378" spans="1:4">
      <c r="A10378" t="s">
        <v>15495</v>
      </c>
      <c r="B10378">
        <v>2369</v>
      </c>
      <c r="C10378" t="s">
        <v>6523</v>
      </c>
      <c r="D10378" t="s">
        <v>6168</v>
      </c>
    </row>
    <row r="10379" spans="1:4">
      <c r="A10379" t="s">
        <v>15496</v>
      </c>
      <c r="B10379">
        <v>2370</v>
      </c>
      <c r="C10379" t="s">
        <v>15497</v>
      </c>
      <c r="D10379" t="s">
        <v>6168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15498</v>
      </c>
      <c r="B10382">
        <v>706</v>
      </c>
      <c r="D10382" t="s">
        <v>6168</v>
      </c>
    </row>
    <row r="10383" spans="1:4">
      <c r="A10383" t="s">
        <v>15499</v>
      </c>
      <c r="B10383">
        <v>705</v>
      </c>
      <c r="C10383" t="s">
        <v>4950</v>
      </c>
      <c r="D10383" t="s">
        <v>6168</v>
      </c>
    </row>
    <row r="10384" spans="1:4">
      <c r="A10384" t="s">
        <v>15500</v>
      </c>
      <c r="B10384">
        <v>707</v>
      </c>
      <c r="C10384" t="s">
        <v>9615</v>
      </c>
      <c r="D10384" t="s">
        <v>6168</v>
      </c>
    </row>
    <row r="10385" spans="1:4">
      <c r="A10385" t="s">
        <v>15501</v>
      </c>
      <c r="B10385">
        <v>32524</v>
      </c>
      <c r="C10385" t="s">
        <v>15502</v>
      </c>
      <c r="D10385" t="s">
        <v>6168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15503</v>
      </c>
      <c r="B10387">
        <v>36126</v>
      </c>
      <c r="C10387" t="s">
        <v>6546</v>
      </c>
      <c r="D10387" t="s">
        <v>6168</v>
      </c>
    </row>
    <row r="10388" spans="1:4">
      <c r="A10388" t="s">
        <v>15504</v>
      </c>
      <c r="B10388">
        <v>41273</v>
      </c>
      <c r="C10388" t="s">
        <v>8216</v>
      </c>
      <c r="D10388" t="s">
        <v>6168</v>
      </c>
    </row>
    <row r="10389" spans="1:4">
      <c r="A10389" t="s">
        <v>17480</v>
      </c>
      <c r="B10389">
        <v>45768</v>
      </c>
      <c r="C10389" t="s">
        <v>17481</v>
      </c>
      <c r="D10389" t="s">
        <v>6168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15505</v>
      </c>
      <c r="B10393">
        <v>540</v>
      </c>
      <c r="D10393" t="s">
        <v>6168</v>
      </c>
    </row>
    <row r="10394" spans="1:4">
      <c r="A10394" t="s">
        <v>15506</v>
      </c>
      <c r="B10394">
        <v>541</v>
      </c>
      <c r="D10394" t="s">
        <v>6168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15507</v>
      </c>
      <c r="B10396">
        <v>35250</v>
      </c>
      <c r="C10396" t="s">
        <v>10710</v>
      </c>
      <c r="D10396" t="s">
        <v>6168</v>
      </c>
    </row>
    <row r="10397" spans="1:4">
      <c r="A10397" t="s">
        <v>15508</v>
      </c>
      <c r="B10397">
        <v>25248</v>
      </c>
      <c r="C10397" t="s">
        <v>15509</v>
      </c>
      <c r="D10397" t="s">
        <v>6168</v>
      </c>
    </row>
    <row r="10398" spans="1:4">
      <c r="A10398" t="s">
        <v>15510</v>
      </c>
      <c r="B10398">
        <v>25679</v>
      </c>
      <c r="C10398" t="s">
        <v>2977</v>
      </c>
      <c r="D10398" t="s">
        <v>6168</v>
      </c>
    </row>
    <row r="10399" spans="1:4">
      <c r="A10399" t="s">
        <v>15511</v>
      </c>
      <c r="B10399">
        <v>25289</v>
      </c>
      <c r="C10399" t="s">
        <v>2977</v>
      </c>
      <c r="D10399" t="s">
        <v>6168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15512</v>
      </c>
      <c r="B10402">
        <v>25249</v>
      </c>
      <c r="C10402" t="s">
        <v>12967</v>
      </c>
      <c r="D10402" t="s">
        <v>6168</v>
      </c>
    </row>
    <row r="10403" spans="1:4">
      <c r="A10403" t="s">
        <v>15513</v>
      </c>
      <c r="B10403">
        <v>40434</v>
      </c>
      <c r="C10403" t="s">
        <v>15514</v>
      </c>
      <c r="D10403" t="s">
        <v>6168</v>
      </c>
    </row>
    <row r="10404" spans="1:4">
      <c r="A10404" t="s">
        <v>17164</v>
      </c>
      <c r="B10404">
        <v>44463</v>
      </c>
      <c r="C10404" t="s">
        <v>17165</v>
      </c>
      <c r="D10404" t="s">
        <v>6168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15515</v>
      </c>
      <c r="B10406">
        <v>2691</v>
      </c>
      <c r="C10406" t="s">
        <v>7889</v>
      </c>
      <c r="D10406" t="s">
        <v>6168</v>
      </c>
    </row>
    <row r="10407" spans="1:4">
      <c r="A10407" t="s">
        <v>15516</v>
      </c>
      <c r="B10407">
        <v>2692</v>
      </c>
      <c r="C10407" t="s">
        <v>15517</v>
      </c>
      <c r="D10407" t="s">
        <v>6168</v>
      </c>
    </row>
    <row r="10408" spans="1:4">
      <c r="A10408" t="s">
        <v>15518</v>
      </c>
      <c r="B10408">
        <v>2693</v>
      </c>
      <c r="C10408" t="s">
        <v>7889</v>
      </c>
      <c r="D10408" t="s">
        <v>6168</v>
      </c>
    </row>
    <row r="10409" spans="1:4">
      <c r="A10409" t="s">
        <v>15519</v>
      </c>
      <c r="B10409">
        <v>2694</v>
      </c>
      <c r="C10409" t="s">
        <v>15520</v>
      </c>
      <c r="D10409" t="s">
        <v>6168</v>
      </c>
    </row>
    <row r="10410" spans="1:4">
      <c r="A10410" t="s">
        <v>15521</v>
      </c>
      <c r="B10410">
        <v>2695</v>
      </c>
      <c r="C10410" t="s">
        <v>7106</v>
      </c>
      <c r="D10410" t="s">
        <v>6168</v>
      </c>
    </row>
    <row r="10411" spans="1:4">
      <c r="A10411" t="s">
        <v>15522</v>
      </c>
      <c r="B10411">
        <v>2696</v>
      </c>
      <c r="C10411" t="s">
        <v>15520</v>
      </c>
      <c r="D10411" t="s">
        <v>6168</v>
      </c>
    </row>
    <row r="10412" spans="1:4">
      <c r="A10412" t="s">
        <v>15523</v>
      </c>
      <c r="B10412">
        <v>2697</v>
      </c>
      <c r="C10412" t="s">
        <v>13798</v>
      </c>
      <c r="D10412" t="s">
        <v>6168</v>
      </c>
    </row>
    <row r="10413" spans="1:4">
      <c r="A10413" t="s">
        <v>15524</v>
      </c>
      <c r="B10413">
        <v>41758</v>
      </c>
      <c r="C10413" t="s">
        <v>13798</v>
      </c>
      <c r="D10413" t="s">
        <v>6449</v>
      </c>
    </row>
    <row r="10414" spans="1:4">
      <c r="A10414" t="s">
        <v>15525</v>
      </c>
      <c r="B10414">
        <v>41757</v>
      </c>
      <c r="C10414" t="s">
        <v>15526</v>
      </c>
      <c r="D10414" t="s">
        <v>6449</v>
      </c>
    </row>
    <row r="10415" spans="1:4">
      <c r="A10415" t="s">
        <v>15527</v>
      </c>
      <c r="B10415">
        <v>2698</v>
      </c>
      <c r="C10415" t="s">
        <v>13798</v>
      </c>
      <c r="D10415" t="s">
        <v>6168</v>
      </c>
    </row>
    <row r="10416" spans="1:4">
      <c r="A10416" t="s">
        <v>15528</v>
      </c>
      <c r="B10416">
        <v>2699</v>
      </c>
      <c r="C10416" t="s">
        <v>15529</v>
      </c>
      <c r="D10416" t="s">
        <v>6168</v>
      </c>
    </row>
    <row r="10417" spans="1:4">
      <c r="A10417" t="s">
        <v>15530</v>
      </c>
      <c r="B10417">
        <v>2700</v>
      </c>
      <c r="C10417" t="s">
        <v>7889</v>
      </c>
      <c r="D10417" t="s">
        <v>6168</v>
      </c>
    </row>
    <row r="10418" spans="1:4">
      <c r="A10418" t="s">
        <v>15531</v>
      </c>
      <c r="B10418">
        <v>2701</v>
      </c>
      <c r="C10418" t="s">
        <v>13798</v>
      </c>
      <c r="D10418" t="s">
        <v>6168</v>
      </c>
    </row>
    <row r="10419" spans="1:4">
      <c r="A10419" t="s">
        <v>15532</v>
      </c>
      <c r="B10419">
        <v>2702</v>
      </c>
      <c r="C10419" t="s">
        <v>15520</v>
      </c>
      <c r="D10419" t="s">
        <v>6168</v>
      </c>
    </row>
    <row r="10420" spans="1:4">
      <c r="A10420" t="s">
        <v>15533</v>
      </c>
      <c r="B10420">
        <v>2703</v>
      </c>
      <c r="C10420" t="s">
        <v>6417</v>
      </c>
      <c r="D10420" t="s">
        <v>6168</v>
      </c>
    </row>
    <row r="10421" spans="1:4">
      <c r="A10421" t="s">
        <v>15534</v>
      </c>
      <c r="B10421">
        <v>2704</v>
      </c>
      <c r="C10421" t="s">
        <v>12590</v>
      </c>
      <c r="D10421" t="s">
        <v>6168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15535</v>
      </c>
      <c r="B10423">
        <v>29268</v>
      </c>
      <c r="C10423" t="s">
        <v>1381</v>
      </c>
      <c r="D10423" t="s">
        <v>6168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15536</v>
      </c>
      <c r="B10425">
        <v>293</v>
      </c>
      <c r="C10425" t="s">
        <v>9615</v>
      </c>
      <c r="D10425" t="s">
        <v>6168</v>
      </c>
    </row>
    <row r="10426" spans="1:4">
      <c r="A10426" t="s">
        <v>15537</v>
      </c>
      <c r="B10426">
        <v>295</v>
      </c>
      <c r="C10426" t="s">
        <v>6568</v>
      </c>
      <c r="D10426" t="s">
        <v>6168</v>
      </c>
    </row>
    <row r="10427" spans="1:4">
      <c r="A10427" t="s">
        <v>15538</v>
      </c>
      <c r="B10427">
        <v>294</v>
      </c>
      <c r="C10427" t="s">
        <v>7320</v>
      </c>
      <c r="D10427" t="s">
        <v>6168</v>
      </c>
    </row>
    <row r="10428" spans="1:4">
      <c r="A10428" t="s">
        <v>15539</v>
      </c>
      <c r="B10428">
        <v>296</v>
      </c>
      <c r="C10428" t="s">
        <v>15540</v>
      </c>
      <c r="D10428" t="s">
        <v>6168</v>
      </c>
    </row>
    <row r="10429" spans="1:4">
      <c r="A10429" t="s">
        <v>15541</v>
      </c>
      <c r="B10429">
        <v>297</v>
      </c>
      <c r="C10429" t="s">
        <v>7124</v>
      </c>
      <c r="D10429" t="s">
        <v>6168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15542</v>
      </c>
      <c r="B10432">
        <v>299</v>
      </c>
      <c r="C10432" t="s">
        <v>6519</v>
      </c>
      <c r="D10432" t="s">
        <v>6168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15543</v>
      </c>
      <c r="B10434">
        <v>30045</v>
      </c>
      <c r="C10434" t="s">
        <v>736</v>
      </c>
      <c r="D10434" t="s">
        <v>6168</v>
      </c>
    </row>
    <row r="10435" spans="1:4">
      <c r="A10435" t="s">
        <v>15544</v>
      </c>
      <c r="B10435">
        <v>35612</v>
      </c>
      <c r="C10435" t="s">
        <v>15545</v>
      </c>
      <c r="D10435" t="s">
        <v>6168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15546</v>
      </c>
      <c r="B10438">
        <v>22701</v>
      </c>
      <c r="C10438" t="s">
        <v>597</v>
      </c>
      <c r="D10438" t="s">
        <v>6168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15547</v>
      </c>
      <c r="B10440">
        <v>34147</v>
      </c>
      <c r="C10440" t="s">
        <v>15548</v>
      </c>
      <c r="D10440" t="s">
        <v>6168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15549</v>
      </c>
      <c r="B10442">
        <v>20560</v>
      </c>
      <c r="D10442" t="s">
        <v>6267</v>
      </c>
    </row>
    <row r="10443" spans="1:4">
      <c r="A10443" t="s">
        <v>15550</v>
      </c>
      <c r="B10443">
        <v>24940</v>
      </c>
      <c r="C10443" t="s">
        <v>444</v>
      </c>
      <c r="D10443" t="s">
        <v>6305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16798</v>
      </c>
      <c r="B10445">
        <v>43354</v>
      </c>
      <c r="C10445" t="s">
        <v>16799</v>
      </c>
      <c r="D10445" t="s">
        <v>6168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15551</v>
      </c>
      <c r="B10447">
        <v>29859</v>
      </c>
      <c r="C10447" t="s">
        <v>4648</v>
      </c>
      <c r="D10447" t="s">
        <v>6168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15552</v>
      </c>
      <c r="B10449">
        <v>43095</v>
      </c>
      <c r="C10449" t="s">
        <v>7059</v>
      </c>
      <c r="D10449" t="s">
        <v>6267</v>
      </c>
    </row>
    <row r="10450" spans="1:4">
      <c r="A10450" t="s">
        <v>15553</v>
      </c>
      <c r="B10450">
        <v>43557</v>
      </c>
      <c r="C10450" t="s">
        <v>7059</v>
      </c>
      <c r="D10450" t="s">
        <v>123</v>
      </c>
    </row>
    <row r="10451" spans="1:4">
      <c r="A10451" t="s">
        <v>16908</v>
      </c>
      <c r="B10451">
        <v>43972</v>
      </c>
      <c r="C10451" t="s">
        <v>16909</v>
      </c>
      <c r="D10451" t="s">
        <v>6168</v>
      </c>
    </row>
    <row r="10452" spans="1:4">
      <c r="A10452" t="s">
        <v>15554</v>
      </c>
      <c r="B10452">
        <v>22702</v>
      </c>
      <c r="C10452" t="s">
        <v>590</v>
      </c>
      <c r="D10452" t="s">
        <v>6267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15555</v>
      </c>
      <c r="B10455">
        <v>22704</v>
      </c>
      <c r="C10455" t="s">
        <v>15556</v>
      </c>
      <c r="D10455" t="s">
        <v>6168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15557</v>
      </c>
      <c r="B10458">
        <v>351</v>
      </c>
      <c r="C10458" t="s">
        <v>15558</v>
      </c>
      <c r="D10458" t="s">
        <v>6168</v>
      </c>
    </row>
    <row r="10459" spans="1:4">
      <c r="A10459" t="s">
        <v>15559</v>
      </c>
      <c r="B10459">
        <v>352</v>
      </c>
      <c r="C10459" t="s">
        <v>9392</v>
      </c>
      <c r="D10459" t="s">
        <v>6168</v>
      </c>
    </row>
    <row r="10460" spans="1:4">
      <c r="A10460" t="s">
        <v>15560</v>
      </c>
      <c r="B10460">
        <v>353</v>
      </c>
      <c r="C10460" t="s">
        <v>659</v>
      </c>
      <c r="D10460" t="s">
        <v>6168</v>
      </c>
    </row>
    <row r="10461" spans="1:4">
      <c r="A10461" t="s">
        <v>15561</v>
      </c>
      <c r="B10461">
        <v>354</v>
      </c>
      <c r="C10461" t="s">
        <v>9392</v>
      </c>
      <c r="D10461" t="s">
        <v>6168</v>
      </c>
    </row>
    <row r="10462" spans="1:4">
      <c r="A10462" t="s">
        <v>15562</v>
      </c>
      <c r="B10462">
        <v>355</v>
      </c>
      <c r="D10462" t="s">
        <v>6168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15563</v>
      </c>
      <c r="B10464">
        <v>33945</v>
      </c>
      <c r="D10464" t="s">
        <v>6248</v>
      </c>
    </row>
    <row r="10465" spans="1:4">
      <c r="A10465" t="s">
        <v>15564</v>
      </c>
      <c r="B10465">
        <v>30517</v>
      </c>
      <c r="C10465" t="s">
        <v>1223</v>
      </c>
      <c r="D10465" t="s">
        <v>6168</v>
      </c>
    </row>
    <row r="10466" spans="1:4">
      <c r="A10466" t="s">
        <v>15565</v>
      </c>
      <c r="B10466">
        <v>23928</v>
      </c>
      <c r="C10466" t="s">
        <v>2407</v>
      </c>
      <c r="D10466" t="s">
        <v>6168</v>
      </c>
    </row>
    <row r="10467" spans="1:4">
      <c r="A10467" t="s">
        <v>15566</v>
      </c>
      <c r="B10467">
        <v>30527</v>
      </c>
      <c r="C10467" t="s">
        <v>8692</v>
      </c>
      <c r="D10467" t="s">
        <v>6168</v>
      </c>
    </row>
    <row r="10468" spans="1:4">
      <c r="A10468" t="s">
        <v>15567</v>
      </c>
      <c r="B10468">
        <v>29511</v>
      </c>
      <c r="C10468" t="s">
        <v>15568</v>
      </c>
      <c r="D10468" t="s">
        <v>6168</v>
      </c>
    </row>
    <row r="10469" spans="1:4">
      <c r="A10469" t="s">
        <v>15569</v>
      </c>
      <c r="B10469">
        <v>24292</v>
      </c>
      <c r="C10469" t="s">
        <v>15570</v>
      </c>
      <c r="D10469" t="s">
        <v>6168</v>
      </c>
    </row>
    <row r="10470" spans="1:4">
      <c r="A10470" t="s">
        <v>17482</v>
      </c>
      <c r="B10470">
        <v>45769</v>
      </c>
      <c r="C10470" t="s">
        <v>8138</v>
      </c>
      <c r="D10470" t="s">
        <v>6305</v>
      </c>
    </row>
    <row r="10471" spans="1:4">
      <c r="A10471" t="s">
        <v>15571</v>
      </c>
      <c r="B10471">
        <v>40433</v>
      </c>
      <c r="C10471" t="s">
        <v>8138</v>
      </c>
      <c r="D10471" t="s">
        <v>6305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15572</v>
      </c>
      <c r="B10473">
        <v>175</v>
      </c>
      <c r="C10473" t="s">
        <v>7589</v>
      </c>
      <c r="D10473" t="s">
        <v>6168</v>
      </c>
    </row>
    <row r="10474" spans="1:4">
      <c r="A10474" t="s">
        <v>15573</v>
      </c>
      <c r="B10474">
        <v>176</v>
      </c>
      <c r="C10474" t="s">
        <v>15574</v>
      </c>
      <c r="D10474" t="s">
        <v>6168</v>
      </c>
    </row>
    <row r="10475" spans="1:4">
      <c r="A10475" t="s">
        <v>15575</v>
      </c>
      <c r="B10475">
        <v>177</v>
      </c>
      <c r="C10475" t="s">
        <v>7589</v>
      </c>
      <c r="D10475" t="s">
        <v>6168</v>
      </c>
    </row>
    <row r="10476" spans="1:4">
      <c r="A10476" t="s">
        <v>15576</v>
      </c>
      <c r="B10476">
        <v>4501</v>
      </c>
      <c r="D10476" t="s">
        <v>6245</v>
      </c>
    </row>
    <row r="10477" spans="1:4">
      <c r="A10477" t="s">
        <v>15577</v>
      </c>
      <c r="B10477">
        <v>23929</v>
      </c>
      <c r="C10477" t="s">
        <v>3896</v>
      </c>
      <c r="D10477" t="s">
        <v>6245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15578</v>
      </c>
      <c r="B10479">
        <v>33944</v>
      </c>
      <c r="C10479" t="s">
        <v>4046</v>
      </c>
      <c r="D10479" t="s">
        <v>6245</v>
      </c>
    </row>
    <row r="10480" spans="1:4">
      <c r="A10480" t="s">
        <v>15579</v>
      </c>
      <c r="B10480">
        <v>23039</v>
      </c>
      <c r="D10480" t="s">
        <v>6872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15580</v>
      </c>
      <c r="B10482">
        <v>23255</v>
      </c>
      <c r="C10482" t="s">
        <v>14123</v>
      </c>
      <c r="D10482" t="s">
        <v>6605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15581</v>
      </c>
      <c r="B10484">
        <v>25251</v>
      </c>
      <c r="C10484" t="s">
        <v>15582</v>
      </c>
      <c r="D10484" t="s">
        <v>6248</v>
      </c>
    </row>
    <row r="10485" spans="1:4">
      <c r="A10485" t="s">
        <v>15583</v>
      </c>
      <c r="B10485">
        <v>25389</v>
      </c>
      <c r="C10485" t="s">
        <v>15582</v>
      </c>
      <c r="D10485" t="s">
        <v>6168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15584</v>
      </c>
      <c r="B10487">
        <v>27384</v>
      </c>
      <c r="C10487" t="s">
        <v>15585</v>
      </c>
      <c r="D10487" t="s">
        <v>6168</v>
      </c>
    </row>
    <row r="10488" spans="1:4">
      <c r="A10488" t="s">
        <v>15586</v>
      </c>
      <c r="B10488">
        <v>22707</v>
      </c>
      <c r="C10488" t="s">
        <v>10046</v>
      </c>
      <c r="D10488" t="s">
        <v>6168</v>
      </c>
    </row>
    <row r="10489" spans="1:4">
      <c r="A10489" t="s">
        <v>15587</v>
      </c>
      <c r="B10489">
        <v>22708</v>
      </c>
      <c r="C10489" t="s">
        <v>15588</v>
      </c>
      <c r="D10489" t="s">
        <v>6168</v>
      </c>
    </row>
    <row r="10490" spans="1:4">
      <c r="A10490" t="s">
        <v>15589</v>
      </c>
      <c r="B10490">
        <v>22709</v>
      </c>
      <c r="C10490" t="s">
        <v>15590</v>
      </c>
      <c r="D10490" t="s">
        <v>6168</v>
      </c>
    </row>
    <row r="10491" spans="1:4">
      <c r="A10491" t="s">
        <v>15591</v>
      </c>
      <c r="B10491">
        <v>22710</v>
      </c>
      <c r="C10491" t="s">
        <v>15588</v>
      </c>
      <c r="D10491" t="s">
        <v>6168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15592</v>
      </c>
      <c r="B10493">
        <v>4360</v>
      </c>
      <c r="C10493" t="s">
        <v>6236</v>
      </c>
      <c r="D10493" t="s">
        <v>6168</v>
      </c>
    </row>
    <row r="10494" spans="1:4">
      <c r="A10494" t="s">
        <v>15593</v>
      </c>
      <c r="B10494">
        <v>23040</v>
      </c>
      <c r="C10494" t="s">
        <v>10266</v>
      </c>
      <c r="D10494" t="s">
        <v>6168</v>
      </c>
    </row>
    <row r="10495" spans="1:4">
      <c r="A10495" t="s">
        <v>15594</v>
      </c>
      <c r="B10495">
        <v>4361</v>
      </c>
      <c r="D10495" t="s">
        <v>6168</v>
      </c>
    </row>
    <row r="10496" spans="1:4">
      <c r="A10496" t="s">
        <v>15595</v>
      </c>
      <c r="B10496">
        <v>4362</v>
      </c>
      <c r="C10496" t="s">
        <v>15596</v>
      </c>
      <c r="D10496" t="s">
        <v>6168</v>
      </c>
    </row>
    <row r="10497" spans="1:4">
      <c r="A10497" t="s">
        <v>15597</v>
      </c>
      <c r="B10497">
        <v>4363</v>
      </c>
      <c r="C10497" t="s">
        <v>192</v>
      </c>
      <c r="D10497" t="s">
        <v>6168</v>
      </c>
    </row>
    <row r="10498" spans="1:4">
      <c r="A10498" t="s">
        <v>15598</v>
      </c>
      <c r="B10498">
        <v>23516</v>
      </c>
      <c r="C10498" t="s">
        <v>3918</v>
      </c>
      <c r="D10498" t="s">
        <v>6267</v>
      </c>
    </row>
    <row r="10499" spans="1:4">
      <c r="A10499" t="s">
        <v>15599</v>
      </c>
      <c r="B10499">
        <v>23930</v>
      </c>
      <c r="D10499" t="s">
        <v>6305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15600</v>
      </c>
      <c r="B10501">
        <v>31165</v>
      </c>
      <c r="C10501" t="s">
        <v>15601</v>
      </c>
      <c r="D10501" t="s">
        <v>6168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15602</v>
      </c>
      <c r="B10503">
        <v>2959</v>
      </c>
      <c r="C10503" t="s">
        <v>15603</v>
      </c>
      <c r="D10503" t="s">
        <v>6168</v>
      </c>
    </row>
    <row r="10504" spans="1:4">
      <c r="A10504" t="s">
        <v>15604</v>
      </c>
      <c r="B10504">
        <v>2957</v>
      </c>
      <c r="D10504" t="s">
        <v>6168</v>
      </c>
    </row>
    <row r="10505" spans="1:4">
      <c r="A10505" t="s">
        <v>15605</v>
      </c>
      <c r="B10505">
        <v>2958</v>
      </c>
      <c r="C10505" t="s">
        <v>15606</v>
      </c>
      <c r="D10505" t="s">
        <v>6168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15607</v>
      </c>
      <c r="B10508">
        <v>43559</v>
      </c>
      <c r="C10508" t="s">
        <v>15608</v>
      </c>
      <c r="D10508" t="s">
        <v>123</v>
      </c>
    </row>
    <row r="10509" spans="1:4">
      <c r="A10509" t="s">
        <v>16910</v>
      </c>
      <c r="B10509">
        <v>43974</v>
      </c>
      <c r="C10509" t="s">
        <v>6190</v>
      </c>
      <c r="D10509" t="s">
        <v>6168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15609</v>
      </c>
      <c r="B10513">
        <v>36278</v>
      </c>
      <c r="C10513" t="s">
        <v>15610</v>
      </c>
      <c r="D10513" t="s">
        <v>6168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15611</v>
      </c>
      <c r="B10515">
        <v>31784</v>
      </c>
      <c r="C10515" t="s">
        <v>4617</v>
      </c>
      <c r="D10515" t="s">
        <v>6168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15612</v>
      </c>
      <c r="B10517">
        <v>3008</v>
      </c>
      <c r="C10517" t="s">
        <v>15613</v>
      </c>
      <c r="D10517" t="s">
        <v>6168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15614</v>
      </c>
      <c r="B10519">
        <v>23072</v>
      </c>
      <c r="C10519" t="s">
        <v>15615</v>
      </c>
      <c r="D10519" t="s">
        <v>6267</v>
      </c>
    </row>
    <row r="10520" spans="1:4">
      <c r="A10520" t="s">
        <v>15616</v>
      </c>
      <c r="B10520">
        <v>3148</v>
      </c>
      <c r="C10520" t="s">
        <v>15617</v>
      </c>
      <c r="D10520" t="s">
        <v>6314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15618</v>
      </c>
      <c r="B10523">
        <v>42238</v>
      </c>
      <c r="C10523" t="s">
        <v>15337</v>
      </c>
      <c r="D10523" t="s">
        <v>6168</v>
      </c>
    </row>
    <row r="10524" spans="1:4">
      <c r="A10524" t="s">
        <v>15619</v>
      </c>
      <c r="B10524">
        <v>31271</v>
      </c>
      <c r="C10524" t="s">
        <v>15620</v>
      </c>
      <c r="D10524" t="s">
        <v>6168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15621</v>
      </c>
      <c r="B10526">
        <v>29652</v>
      </c>
      <c r="C10526" t="s">
        <v>3569</v>
      </c>
      <c r="D10526" t="s">
        <v>6314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15622</v>
      </c>
      <c r="B10528">
        <v>26068</v>
      </c>
      <c r="C10528" t="s">
        <v>15623</v>
      </c>
      <c r="D10528" t="s">
        <v>6168</v>
      </c>
    </row>
    <row r="10529" spans="1:4">
      <c r="A10529" t="s">
        <v>15624</v>
      </c>
      <c r="B10529">
        <v>26067</v>
      </c>
      <c r="C10529" t="s">
        <v>15625</v>
      </c>
      <c r="D10529" t="s">
        <v>6168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15626</v>
      </c>
      <c r="B10531">
        <v>22712</v>
      </c>
      <c r="C10531" t="s">
        <v>15627</v>
      </c>
      <c r="D10531" t="s">
        <v>6168</v>
      </c>
    </row>
    <row r="10532" spans="1:4">
      <c r="A10532" t="s">
        <v>15628</v>
      </c>
      <c r="B10532">
        <v>22713</v>
      </c>
      <c r="C10532" t="s">
        <v>15629</v>
      </c>
      <c r="D10532" t="s">
        <v>6267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15630</v>
      </c>
      <c r="B10534">
        <v>22715</v>
      </c>
      <c r="D10534" t="s">
        <v>6267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15631</v>
      </c>
      <c r="B10536">
        <v>29267</v>
      </c>
      <c r="C10536" t="s">
        <v>10251</v>
      </c>
      <c r="D10536" t="s">
        <v>6168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15632</v>
      </c>
      <c r="B10538">
        <v>30847</v>
      </c>
      <c r="C10538" t="s">
        <v>7271</v>
      </c>
      <c r="D10538" t="s">
        <v>6168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15633</v>
      </c>
      <c r="B10540">
        <v>22716</v>
      </c>
      <c r="C10540" t="s">
        <v>776</v>
      </c>
      <c r="D10540" t="s">
        <v>6245</v>
      </c>
    </row>
    <row r="10541" spans="1:4">
      <c r="A10541" t="s">
        <v>15634</v>
      </c>
      <c r="B10541">
        <v>30285</v>
      </c>
      <c r="D10541" t="s">
        <v>6314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15635</v>
      </c>
      <c r="B10543">
        <v>4575</v>
      </c>
      <c r="C10543" t="s">
        <v>15636</v>
      </c>
      <c r="D10543" t="s">
        <v>6168</v>
      </c>
    </row>
    <row r="10544" spans="1:4">
      <c r="A10544" t="s">
        <v>15637</v>
      </c>
      <c r="B10544">
        <v>22717</v>
      </c>
      <c r="C10544" t="s">
        <v>15638</v>
      </c>
      <c r="D10544" t="s">
        <v>6168</v>
      </c>
    </row>
    <row r="10545" spans="1:4">
      <c r="A10545" t="s">
        <v>15639</v>
      </c>
      <c r="B10545">
        <v>40432</v>
      </c>
      <c r="C10545" t="s">
        <v>15640</v>
      </c>
      <c r="D10545" t="s">
        <v>6168</v>
      </c>
    </row>
    <row r="10546" spans="1:4">
      <c r="A10546" t="s">
        <v>15641</v>
      </c>
      <c r="B10546">
        <v>30050</v>
      </c>
      <c r="C10546" t="s">
        <v>15638</v>
      </c>
      <c r="D10546" t="s">
        <v>6168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15642</v>
      </c>
      <c r="B10548">
        <v>30794</v>
      </c>
      <c r="C10548" t="s">
        <v>8585</v>
      </c>
      <c r="D10548" t="s">
        <v>6605</v>
      </c>
    </row>
    <row r="10549" spans="1:4">
      <c r="A10549" t="s">
        <v>15643</v>
      </c>
      <c r="B10549">
        <v>22718</v>
      </c>
      <c r="C10549" t="s">
        <v>2310</v>
      </c>
      <c r="D10549" t="s">
        <v>6314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15644</v>
      </c>
      <c r="B10551">
        <v>4524</v>
      </c>
      <c r="C10551" t="s">
        <v>10848</v>
      </c>
      <c r="D10551" t="s">
        <v>6168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15645</v>
      </c>
      <c r="B10553">
        <v>2651</v>
      </c>
      <c r="C10553" t="s">
        <v>8178</v>
      </c>
      <c r="D10553" t="s">
        <v>6168</v>
      </c>
    </row>
    <row r="10554" spans="1:4">
      <c r="A10554" t="s">
        <v>15646</v>
      </c>
      <c r="B10554">
        <v>2652</v>
      </c>
      <c r="C10554" t="s">
        <v>11352</v>
      </c>
      <c r="D10554" t="s">
        <v>6168</v>
      </c>
    </row>
    <row r="10555" spans="1:4">
      <c r="A10555" t="s">
        <v>15647</v>
      </c>
      <c r="B10555">
        <v>2653</v>
      </c>
      <c r="C10555" t="s">
        <v>8554</v>
      </c>
      <c r="D10555" t="s">
        <v>6168</v>
      </c>
    </row>
    <row r="10556" spans="1:4">
      <c r="A10556" t="s">
        <v>15648</v>
      </c>
      <c r="B10556">
        <v>2654</v>
      </c>
      <c r="C10556" t="s">
        <v>8554</v>
      </c>
      <c r="D10556" t="s">
        <v>6168</v>
      </c>
    </row>
    <row r="10557" spans="1:4">
      <c r="A10557" t="s">
        <v>15649</v>
      </c>
      <c r="B10557">
        <v>3147</v>
      </c>
      <c r="C10557" t="s">
        <v>15650</v>
      </c>
      <c r="D10557" t="s">
        <v>6168</v>
      </c>
    </row>
    <row r="10558" spans="1:4">
      <c r="A10558" t="s">
        <v>15651</v>
      </c>
      <c r="B10558">
        <v>22719</v>
      </c>
      <c r="C10558" t="s">
        <v>11225</v>
      </c>
      <c r="D10558" t="s">
        <v>6245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15652</v>
      </c>
      <c r="B10560">
        <v>35669</v>
      </c>
      <c r="C10560" t="s">
        <v>367</v>
      </c>
      <c r="D10560" t="s">
        <v>6168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15653</v>
      </c>
      <c r="B10564">
        <v>29770</v>
      </c>
      <c r="C10564" t="s">
        <v>6409</v>
      </c>
      <c r="D10564" t="s">
        <v>6168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15654</v>
      </c>
      <c r="B10566">
        <v>31146</v>
      </c>
      <c r="C10566" t="s">
        <v>7702</v>
      </c>
      <c r="D10566" t="s">
        <v>6168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15655</v>
      </c>
      <c r="B10569">
        <v>3012</v>
      </c>
      <c r="C10569" t="s">
        <v>2184</v>
      </c>
      <c r="D10569" t="s">
        <v>6168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15656</v>
      </c>
      <c r="B10571">
        <v>40431</v>
      </c>
      <c r="C10571" t="s">
        <v>1517</v>
      </c>
      <c r="D10571" t="s">
        <v>6314</v>
      </c>
    </row>
    <row r="10572" spans="1:4">
      <c r="A10572" t="s">
        <v>15657</v>
      </c>
      <c r="B10572">
        <v>24878</v>
      </c>
      <c r="C10572" t="s">
        <v>15658</v>
      </c>
      <c r="D10572" t="s">
        <v>6245</v>
      </c>
    </row>
    <row r="10573" spans="1:4">
      <c r="A10573" t="s">
        <v>17350</v>
      </c>
      <c r="B10573">
        <v>45444</v>
      </c>
      <c r="C10573" t="s">
        <v>1169</v>
      </c>
      <c r="D10573" t="s">
        <v>6314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15659</v>
      </c>
      <c r="B10575">
        <v>29265</v>
      </c>
      <c r="C10575" t="s">
        <v>6689</v>
      </c>
      <c r="D10575" t="s">
        <v>6168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15660</v>
      </c>
      <c r="B10577">
        <v>22721</v>
      </c>
      <c r="C10577" t="s">
        <v>15661</v>
      </c>
      <c r="D10577" t="s">
        <v>6168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15662</v>
      </c>
      <c r="B10580">
        <v>19314</v>
      </c>
      <c r="C10580" t="s">
        <v>15663</v>
      </c>
      <c r="D10580" t="s">
        <v>6168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15664</v>
      </c>
      <c r="B10582">
        <v>19350</v>
      </c>
      <c r="D10582" t="s">
        <v>6168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15665</v>
      </c>
      <c r="B10586">
        <v>602</v>
      </c>
      <c r="C10586" t="s">
        <v>15666</v>
      </c>
      <c r="D10586" t="s">
        <v>6168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15667</v>
      </c>
      <c r="B10588">
        <v>4555</v>
      </c>
      <c r="C10588" t="s">
        <v>13791</v>
      </c>
      <c r="D10588" t="s">
        <v>6168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15668</v>
      </c>
      <c r="B10590">
        <v>22723</v>
      </c>
      <c r="C10590" t="s">
        <v>15669</v>
      </c>
      <c r="D10590" t="s">
        <v>6168</v>
      </c>
    </row>
    <row r="10591" spans="1:4">
      <c r="A10591" t="s">
        <v>15670</v>
      </c>
      <c r="B10591">
        <v>5194</v>
      </c>
      <c r="C10591" t="s">
        <v>444</v>
      </c>
      <c r="D10591" t="s">
        <v>6267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15671</v>
      </c>
      <c r="B10594">
        <v>3069</v>
      </c>
      <c r="C10594" t="s">
        <v>6417</v>
      </c>
      <c r="D10594" t="s">
        <v>6168</v>
      </c>
    </row>
    <row r="10595" spans="1:4">
      <c r="A10595" t="s">
        <v>15672</v>
      </c>
      <c r="B10595">
        <v>3070</v>
      </c>
      <c r="C10595" t="s">
        <v>6535</v>
      </c>
      <c r="D10595" t="s">
        <v>6168</v>
      </c>
    </row>
    <row r="10596" spans="1:4">
      <c r="A10596" t="s">
        <v>15673</v>
      </c>
      <c r="B10596">
        <v>3071</v>
      </c>
      <c r="C10596" t="s">
        <v>6924</v>
      </c>
      <c r="D10596" t="s">
        <v>6168</v>
      </c>
    </row>
    <row r="10597" spans="1:4">
      <c r="A10597" t="s">
        <v>15674</v>
      </c>
      <c r="B10597">
        <v>19289</v>
      </c>
      <c r="C10597" t="s">
        <v>15675</v>
      </c>
      <c r="D10597" t="s">
        <v>6168</v>
      </c>
    </row>
    <row r="10598" spans="1:4">
      <c r="A10598" t="s">
        <v>15676</v>
      </c>
      <c r="B10598">
        <v>31789</v>
      </c>
      <c r="C10598" t="s">
        <v>12787</v>
      </c>
      <c r="D10598" t="s">
        <v>6168</v>
      </c>
    </row>
    <row r="10599" spans="1:4">
      <c r="A10599" t="s">
        <v>16800</v>
      </c>
      <c r="B10599">
        <v>43355</v>
      </c>
      <c r="C10599" t="s">
        <v>16801</v>
      </c>
      <c r="D10599" t="s">
        <v>134</v>
      </c>
    </row>
    <row r="10600" spans="1:4">
      <c r="A10600" t="s">
        <v>16751</v>
      </c>
      <c r="B10600">
        <v>43325</v>
      </c>
      <c r="D10600" t="s">
        <v>6314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15677</v>
      </c>
      <c r="B10603">
        <v>26064</v>
      </c>
      <c r="C10603" t="s">
        <v>15678</v>
      </c>
      <c r="D10603" t="s">
        <v>6168</v>
      </c>
    </row>
    <row r="10604" spans="1:4">
      <c r="A10604" t="s">
        <v>15679</v>
      </c>
      <c r="B10604">
        <v>33940</v>
      </c>
      <c r="C10604" t="s">
        <v>15678</v>
      </c>
      <c r="D10604" t="s">
        <v>6168</v>
      </c>
    </row>
    <row r="10605" spans="1:4">
      <c r="A10605" t="s">
        <v>15680</v>
      </c>
      <c r="B10605">
        <v>43015</v>
      </c>
      <c r="C10605" t="s">
        <v>15681</v>
      </c>
      <c r="D10605" t="s">
        <v>6168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15682</v>
      </c>
      <c r="B10607">
        <v>29264</v>
      </c>
      <c r="C10607" t="s">
        <v>15681</v>
      </c>
      <c r="D10607" t="s">
        <v>6168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15683</v>
      </c>
      <c r="B10609">
        <v>25522</v>
      </c>
      <c r="C10609" t="s">
        <v>10196</v>
      </c>
      <c r="D10609" t="s">
        <v>6168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15684</v>
      </c>
      <c r="B10611">
        <v>24296</v>
      </c>
      <c r="C10611" t="s">
        <v>8630</v>
      </c>
      <c r="D10611" t="s">
        <v>6168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15685</v>
      </c>
      <c r="B10613">
        <v>39511</v>
      </c>
      <c r="C10613" t="s">
        <v>8932</v>
      </c>
      <c r="D10613" t="s">
        <v>6230</v>
      </c>
    </row>
    <row r="10614" spans="1:4">
      <c r="A10614" t="s">
        <v>15686</v>
      </c>
      <c r="B10614">
        <v>40430</v>
      </c>
      <c r="C10614" t="s">
        <v>692</v>
      </c>
      <c r="D10614" t="s">
        <v>6314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15687</v>
      </c>
      <c r="B10616">
        <v>4519</v>
      </c>
      <c r="C10616" t="s">
        <v>15688</v>
      </c>
      <c r="D10616" t="s">
        <v>6168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15689</v>
      </c>
      <c r="B10619">
        <v>24297</v>
      </c>
      <c r="C10619" t="s">
        <v>2633</v>
      </c>
      <c r="D10619" t="s">
        <v>6168</v>
      </c>
    </row>
    <row r="10620" spans="1:4">
      <c r="A10620" t="s">
        <v>15690</v>
      </c>
      <c r="B10620">
        <v>30509</v>
      </c>
      <c r="C10620" t="s">
        <v>12833</v>
      </c>
      <c r="D10620" t="s">
        <v>6168</v>
      </c>
    </row>
    <row r="10621" spans="1:4">
      <c r="A10621" t="s">
        <v>15691</v>
      </c>
      <c r="B10621">
        <v>30404</v>
      </c>
      <c r="C10621" t="s">
        <v>1294</v>
      </c>
      <c r="D10621" t="s">
        <v>6168</v>
      </c>
    </row>
    <row r="10622" spans="1:4">
      <c r="A10622" t="s">
        <v>17351</v>
      </c>
      <c r="B10622">
        <v>45445</v>
      </c>
      <c r="C10622" t="s">
        <v>15698</v>
      </c>
      <c r="D10622" t="s">
        <v>6168</v>
      </c>
    </row>
    <row r="10623" spans="1:4">
      <c r="A10623" t="s">
        <v>17352</v>
      </c>
      <c r="B10623">
        <v>45446</v>
      </c>
      <c r="C10623" t="s">
        <v>17353</v>
      </c>
      <c r="D10623" t="s">
        <v>6168</v>
      </c>
    </row>
    <row r="10624" spans="1:4">
      <c r="A10624" t="s">
        <v>15692</v>
      </c>
      <c r="B10624">
        <v>24298</v>
      </c>
      <c r="C10624" t="s">
        <v>1338</v>
      </c>
      <c r="D10624" t="s">
        <v>6168</v>
      </c>
    </row>
    <row r="10625" spans="1:4">
      <c r="A10625" t="s">
        <v>15693</v>
      </c>
      <c r="B10625">
        <v>40429</v>
      </c>
      <c r="C10625" t="s">
        <v>15694</v>
      </c>
      <c r="D10625" t="s">
        <v>6168</v>
      </c>
    </row>
    <row r="10626" spans="1:4">
      <c r="A10626" t="s">
        <v>15695</v>
      </c>
      <c r="B10626">
        <v>26062</v>
      </c>
      <c r="C10626" t="s">
        <v>1307</v>
      </c>
      <c r="D10626" t="s">
        <v>6168</v>
      </c>
    </row>
    <row r="10627" spans="1:4">
      <c r="A10627" t="s">
        <v>17354</v>
      </c>
      <c r="B10627">
        <v>45447</v>
      </c>
      <c r="C10627" t="s">
        <v>17355</v>
      </c>
      <c r="D10627" t="s">
        <v>6168</v>
      </c>
    </row>
    <row r="10628" spans="1:4">
      <c r="A10628" t="s">
        <v>15696</v>
      </c>
      <c r="B10628">
        <v>30508</v>
      </c>
      <c r="C10628" t="s">
        <v>2918</v>
      </c>
      <c r="D10628" t="s">
        <v>6168</v>
      </c>
    </row>
    <row r="10629" spans="1:4">
      <c r="A10629" t="s">
        <v>15697</v>
      </c>
      <c r="B10629">
        <v>35260</v>
      </c>
      <c r="C10629" t="s">
        <v>15698</v>
      </c>
      <c r="D10629" t="s">
        <v>6168</v>
      </c>
    </row>
    <row r="10630" spans="1:4">
      <c r="A10630" t="s">
        <v>15699</v>
      </c>
      <c r="B10630">
        <v>33939</v>
      </c>
      <c r="C10630" t="s">
        <v>15700</v>
      </c>
      <c r="D10630" t="s">
        <v>6168</v>
      </c>
    </row>
    <row r="10631" spans="1:4">
      <c r="A10631" t="s">
        <v>15701</v>
      </c>
      <c r="B10631">
        <v>19704</v>
      </c>
      <c r="D10631" t="s">
        <v>6168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15702</v>
      </c>
      <c r="B10634">
        <v>31468</v>
      </c>
      <c r="C10634" t="s">
        <v>1329</v>
      </c>
      <c r="D10634" t="s">
        <v>6168</v>
      </c>
    </row>
    <row r="10635" spans="1:4">
      <c r="A10635" t="s">
        <v>15703</v>
      </c>
      <c r="B10635">
        <v>43562</v>
      </c>
      <c r="C10635" t="s">
        <v>3201</v>
      </c>
      <c r="D10635" t="s">
        <v>134</v>
      </c>
    </row>
    <row r="10636" spans="1:4">
      <c r="A10636" t="s">
        <v>15704</v>
      </c>
      <c r="B10636">
        <v>23207</v>
      </c>
      <c r="D10636" t="s">
        <v>6230</v>
      </c>
    </row>
    <row r="10637" spans="1:4">
      <c r="A10637" t="s">
        <v>15705</v>
      </c>
      <c r="B10637">
        <v>41794</v>
      </c>
      <c r="C10637" t="s">
        <v>15706</v>
      </c>
      <c r="D10637" t="s">
        <v>6292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15707</v>
      </c>
      <c r="B10639">
        <v>35436</v>
      </c>
      <c r="C10639" t="s">
        <v>15708</v>
      </c>
      <c r="D10639" t="s">
        <v>6168</v>
      </c>
    </row>
    <row r="10640" spans="1:4">
      <c r="A10640" t="s">
        <v>15709</v>
      </c>
      <c r="B10640">
        <v>33966</v>
      </c>
      <c r="D10640" t="s">
        <v>6245</v>
      </c>
    </row>
    <row r="10641" spans="1:4">
      <c r="A10641" t="s">
        <v>15710</v>
      </c>
      <c r="B10641">
        <v>39637</v>
      </c>
      <c r="C10641" t="s">
        <v>10124</v>
      </c>
      <c r="D10641" t="s">
        <v>6243</v>
      </c>
    </row>
    <row r="10642" spans="1:4">
      <c r="A10642" t="s">
        <v>15711</v>
      </c>
      <c r="B10642">
        <v>29263</v>
      </c>
      <c r="C10642" t="s">
        <v>10126</v>
      </c>
      <c r="D10642" t="s">
        <v>6245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15712</v>
      </c>
      <c r="B10644">
        <v>33938</v>
      </c>
      <c r="C10644" t="s">
        <v>15713</v>
      </c>
      <c r="D10644" t="s">
        <v>6168</v>
      </c>
    </row>
    <row r="10645" spans="1:4">
      <c r="A10645" t="s">
        <v>15714</v>
      </c>
      <c r="B10645">
        <v>35253</v>
      </c>
      <c r="C10645" t="s">
        <v>15715</v>
      </c>
      <c r="D10645" t="s">
        <v>6168</v>
      </c>
    </row>
    <row r="10646" spans="1:4">
      <c r="A10646" t="s">
        <v>17483</v>
      </c>
      <c r="B10646">
        <v>45770</v>
      </c>
      <c r="C10646" t="s">
        <v>12610</v>
      </c>
      <c r="D10646" t="s">
        <v>6168</v>
      </c>
    </row>
    <row r="10647" spans="1:4">
      <c r="A10647" t="s">
        <v>15716</v>
      </c>
      <c r="B10647">
        <v>23041</v>
      </c>
      <c r="C10647" t="s">
        <v>12610</v>
      </c>
      <c r="D10647" t="s">
        <v>6168</v>
      </c>
    </row>
    <row r="10648" spans="1:4">
      <c r="A10648" t="s">
        <v>15717</v>
      </c>
      <c r="B10648">
        <v>23042</v>
      </c>
      <c r="C10648" t="s">
        <v>8434</v>
      </c>
      <c r="D10648" t="s">
        <v>6168</v>
      </c>
    </row>
    <row r="10649" spans="1:4">
      <c r="A10649" t="s">
        <v>15718</v>
      </c>
      <c r="B10649">
        <v>23043</v>
      </c>
      <c r="C10649" t="s">
        <v>3184</v>
      </c>
      <c r="D10649" t="s">
        <v>6168</v>
      </c>
    </row>
    <row r="10650" spans="1:4">
      <c r="A10650" t="s">
        <v>15719</v>
      </c>
      <c r="B10650">
        <v>30457</v>
      </c>
      <c r="C10650" t="s">
        <v>7047</v>
      </c>
      <c r="D10650" t="s">
        <v>6168</v>
      </c>
    </row>
    <row r="10651" spans="1:4">
      <c r="A10651" t="s">
        <v>15720</v>
      </c>
      <c r="B10651">
        <v>24882</v>
      </c>
      <c r="C10651" t="s">
        <v>3130</v>
      </c>
      <c r="D10651" t="s">
        <v>6168</v>
      </c>
    </row>
    <row r="10652" spans="1:4">
      <c r="A10652" t="s">
        <v>15721</v>
      </c>
      <c r="B10652">
        <v>35254</v>
      </c>
      <c r="C10652" t="s">
        <v>15715</v>
      </c>
      <c r="D10652" t="s">
        <v>6168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15722</v>
      </c>
      <c r="B10654">
        <v>25019</v>
      </c>
      <c r="C10654" t="s">
        <v>7430</v>
      </c>
      <c r="D10654" t="s">
        <v>6168</v>
      </c>
    </row>
    <row r="10655" spans="1:4">
      <c r="A10655" t="s">
        <v>15723</v>
      </c>
      <c r="B10655">
        <v>41278</v>
      </c>
      <c r="C10655" t="s">
        <v>9819</v>
      </c>
      <c r="D10655" t="s">
        <v>6168</v>
      </c>
    </row>
    <row r="10656" spans="1:4">
      <c r="A10656" t="s">
        <v>15724</v>
      </c>
      <c r="B10656">
        <v>25020</v>
      </c>
      <c r="C10656" t="s">
        <v>15248</v>
      </c>
      <c r="D10656" t="s">
        <v>6168</v>
      </c>
    </row>
    <row r="10657" spans="1:4">
      <c r="A10657" t="s">
        <v>15725</v>
      </c>
      <c r="B10657">
        <v>23239</v>
      </c>
      <c r="C10657" t="s">
        <v>15726</v>
      </c>
      <c r="D10657" t="s">
        <v>6245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15727</v>
      </c>
      <c r="B10659">
        <v>23935</v>
      </c>
      <c r="D10659" t="s">
        <v>6230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15728</v>
      </c>
      <c r="B10661">
        <v>35255</v>
      </c>
      <c r="C10661" t="s">
        <v>15729</v>
      </c>
      <c r="D10661" t="s">
        <v>6168</v>
      </c>
    </row>
    <row r="10662" spans="1:4">
      <c r="A10662" t="s">
        <v>15730</v>
      </c>
      <c r="B10662">
        <v>4273</v>
      </c>
      <c r="C10662" t="s">
        <v>9010</v>
      </c>
      <c r="D10662" t="s">
        <v>6168</v>
      </c>
    </row>
    <row r="10663" spans="1:4">
      <c r="A10663" t="s">
        <v>15731</v>
      </c>
      <c r="B10663">
        <v>39703</v>
      </c>
      <c r="C10663" t="s">
        <v>15732</v>
      </c>
      <c r="D10663" t="s">
        <v>6168</v>
      </c>
    </row>
    <row r="10664" spans="1:4">
      <c r="A10664" t="s">
        <v>15733</v>
      </c>
      <c r="B10664">
        <v>23044</v>
      </c>
      <c r="C10664" t="s">
        <v>2396</v>
      </c>
      <c r="D10664" t="s">
        <v>6168</v>
      </c>
    </row>
    <row r="10665" spans="1:4">
      <c r="A10665" t="s">
        <v>17356</v>
      </c>
      <c r="B10665">
        <v>45448</v>
      </c>
      <c r="C10665" t="s">
        <v>8736</v>
      </c>
      <c r="D10665" t="s">
        <v>6168</v>
      </c>
    </row>
    <row r="10666" spans="1:4">
      <c r="A10666" t="s">
        <v>15734</v>
      </c>
      <c r="B10666">
        <v>30257</v>
      </c>
      <c r="C10666" t="s">
        <v>15735</v>
      </c>
      <c r="D10666" t="s">
        <v>6168</v>
      </c>
    </row>
    <row r="10667" spans="1:4">
      <c r="A10667" t="s">
        <v>15736</v>
      </c>
      <c r="B10667">
        <v>30507</v>
      </c>
      <c r="C10667" t="s">
        <v>15737</v>
      </c>
      <c r="D10667" t="s">
        <v>6168</v>
      </c>
    </row>
    <row r="10668" spans="1:4">
      <c r="A10668" t="s">
        <v>15738</v>
      </c>
      <c r="B10668">
        <v>31763</v>
      </c>
      <c r="C10668" t="s">
        <v>12690</v>
      </c>
      <c r="D10668" t="s">
        <v>6168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15739</v>
      </c>
      <c r="B10670">
        <v>20609</v>
      </c>
      <c r="C10670" t="s">
        <v>15740</v>
      </c>
      <c r="D10670" t="s">
        <v>6168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15741</v>
      </c>
      <c r="B10672">
        <v>22725</v>
      </c>
      <c r="C10672" t="s">
        <v>601</v>
      </c>
      <c r="D10672" t="s">
        <v>6168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15742</v>
      </c>
      <c r="B10674">
        <v>43014</v>
      </c>
      <c r="C10674" t="s">
        <v>6546</v>
      </c>
      <c r="D10674" t="s">
        <v>6168</v>
      </c>
    </row>
    <row r="10675" spans="1:4">
      <c r="A10675" t="s">
        <v>15743</v>
      </c>
      <c r="B10675">
        <v>30676</v>
      </c>
      <c r="C10675" t="s">
        <v>6719</v>
      </c>
      <c r="D10675" t="s">
        <v>6168</v>
      </c>
    </row>
    <row r="10676" spans="1:4">
      <c r="A10676" t="s">
        <v>15744</v>
      </c>
      <c r="B10676">
        <v>35247</v>
      </c>
      <c r="C10676" t="s">
        <v>9974</v>
      </c>
      <c r="D10676" t="s">
        <v>6168</v>
      </c>
    </row>
    <row r="10677" spans="1:4">
      <c r="A10677" t="s">
        <v>15745</v>
      </c>
      <c r="B10677">
        <v>30670</v>
      </c>
      <c r="C10677" t="s">
        <v>4950</v>
      </c>
      <c r="D10677" t="s">
        <v>6168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15746</v>
      </c>
      <c r="B10679">
        <v>43166</v>
      </c>
      <c r="C10679" t="s">
        <v>15747</v>
      </c>
      <c r="D10679" t="s">
        <v>6168</v>
      </c>
    </row>
    <row r="10680" spans="1:4">
      <c r="A10680" t="s">
        <v>15748</v>
      </c>
      <c r="B10680">
        <v>3864</v>
      </c>
      <c r="C10680" t="s">
        <v>15747</v>
      </c>
      <c r="D10680" t="s">
        <v>6168</v>
      </c>
    </row>
    <row r="10681" spans="1:4">
      <c r="A10681" t="s">
        <v>15749</v>
      </c>
      <c r="B10681">
        <v>3863</v>
      </c>
      <c r="C10681" t="s">
        <v>15750</v>
      </c>
      <c r="D10681" t="s">
        <v>6168</v>
      </c>
    </row>
    <row r="10682" spans="1:4">
      <c r="A10682" t="s">
        <v>16674</v>
      </c>
      <c r="B10682">
        <v>23936</v>
      </c>
      <c r="C10682" t="s">
        <v>1286</v>
      </c>
      <c r="D10682" t="s">
        <v>6267</v>
      </c>
    </row>
    <row r="10683" spans="1:4">
      <c r="A10683" t="s">
        <v>15751</v>
      </c>
      <c r="B10683">
        <v>33937</v>
      </c>
      <c r="C10683" t="s">
        <v>1286</v>
      </c>
      <c r="D10683" t="s">
        <v>6305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15752</v>
      </c>
      <c r="B10686">
        <v>9840</v>
      </c>
      <c r="C10686" t="s">
        <v>4481</v>
      </c>
      <c r="D10686" t="s">
        <v>6168</v>
      </c>
    </row>
    <row r="10687" spans="1:4">
      <c r="A10687" t="s">
        <v>15753</v>
      </c>
      <c r="B10687">
        <v>19323</v>
      </c>
      <c r="D10687" t="s">
        <v>6168</v>
      </c>
    </row>
    <row r="10688" spans="1:4">
      <c r="A10688" t="s">
        <v>15754</v>
      </c>
      <c r="B10688">
        <v>39516</v>
      </c>
      <c r="C10688" t="s">
        <v>15755</v>
      </c>
      <c r="D10688" t="s">
        <v>6230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15756</v>
      </c>
      <c r="B10690">
        <v>23586</v>
      </c>
      <c r="C10690" t="s">
        <v>2305</v>
      </c>
      <c r="D10690" t="s">
        <v>6248</v>
      </c>
    </row>
    <row r="10691" spans="1:4">
      <c r="A10691" t="s">
        <v>15757</v>
      </c>
      <c r="B10691">
        <v>23937</v>
      </c>
      <c r="C10691" t="s">
        <v>15758</v>
      </c>
      <c r="D10691" t="s">
        <v>6168</v>
      </c>
    </row>
    <row r="10692" spans="1:4">
      <c r="A10692" t="s">
        <v>15759</v>
      </c>
      <c r="B10692">
        <v>23486</v>
      </c>
      <c r="C10692" t="s">
        <v>6309</v>
      </c>
      <c r="D10692" t="s">
        <v>6168</v>
      </c>
    </row>
    <row r="10693" spans="1:4">
      <c r="A10693" t="s">
        <v>15760</v>
      </c>
      <c r="B10693">
        <v>3401</v>
      </c>
      <c r="C10693" t="s">
        <v>15758</v>
      </c>
      <c r="D10693" t="s">
        <v>6168</v>
      </c>
    </row>
    <row r="10694" spans="1:4">
      <c r="A10694" t="s">
        <v>15761</v>
      </c>
      <c r="B10694">
        <v>4211</v>
      </c>
      <c r="C10694" t="s">
        <v>4950</v>
      </c>
      <c r="D10694" t="s">
        <v>6168</v>
      </c>
    </row>
    <row r="10695" spans="1:4">
      <c r="A10695" t="s">
        <v>15762</v>
      </c>
      <c r="B10695">
        <v>4212</v>
      </c>
      <c r="C10695" t="s">
        <v>6851</v>
      </c>
      <c r="D10695" t="s">
        <v>6168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15763</v>
      </c>
      <c r="B10698">
        <v>22728</v>
      </c>
      <c r="C10698" t="s">
        <v>15764</v>
      </c>
      <c r="D10698" t="s">
        <v>6168</v>
      </c>
    </row>
    <row r="10699" spans="1:4">
      <c r="A10699" t="s">
        <v>15765</v>
      </c>
      <c r="B10699">
        <v>30506</v>
      </c>
      <c r="C10699" t="s">
        <v>15766</v>
      </c>
      <c r="D10699" t="s">
        <v>6168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15767</v>
      </c>
      <c r="B10702">
        <v>3108</v>
      </c>
      <c r="C10702" t="s">
        <v>6417</v>
      </c>
      <c r="D10702" t="s">
        <v>6168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15768</v>
      </c>
      <c r="B10706">
        <v>4371</v>
      </c>
      <c r="C10706" t="s">
        <v>11269</v>
      </c>
      <c r="D10706" t="s">
        <v>6168</v>
      </c>
    </row>
    <row r="10707" spans="1:4">
      <c r="A10707" t="s">
        <v>15769</v>
      </c>
      <c r="B10707">
        <v>4370</v>
      </c>
      <c r="C10707" t="s">
        <v>4950</v>
      </c>
      <c r="D10707" t="s">
        <v>6168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15770</v>
      </c>
      <c r="B10709">
        <v>23514</v>
      </c>
      <c r="C10709" t="s">
        <v>444</v>
      </c>
      <c r="D10709" t="s">
        <v>6314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15771</v>
      </c>
      <c r="B10711">
        <v>2275</v>
      </c>
      <c r="C10711" t="s">
        <v>1428</v>
      </c>
      <c r="D10711" t="s">
        <v>6168</v>
      </c>
    </row>
    <row r="10712" spans="1:4">
      <c r="A10712" t="s">
        <v>15772</v>
      </c>
      <c r="B10712">
        <v>2276</v>
      </c>
      <c r="C10712" t="s">
        <v>15773</v>
      </c>
      <c r="D10712" t="s">
        <v>6168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15774</v>
      </c>
      <c r="B10714">
        <v>5222</v>
      </c>
      <c r="D10714" t="s">
        <v>6168</v>
      </c>
    </row>
    <row r="10715" spans="1:4">
      <c r="A10715" t="s">
        <v>15775</v>
      </c>
      <c r="B10715">
        <v>23064</v>
      </c>
      <c r="C10715" t="s">
        <v>15776</v>
      </c>
      <c r="D10715" t="s">
        <v>6305</v>
      </c>
    </row>
    <row r="10716" spans="1:4">
      <c r="A10716" t="s">
        <v>2177</v>
      </c>
      <c r="B10716">
        <v>5124</v>
      </c>
      <c r="C10716" t="s">
        <v>15777</v>
      </c>
      <c r="D10716" t="s">
        <v>123</v>
      </c>
    </row>
    <row r="10717" spans="1:4">
      <c r="A10717" t="s">
        <v>15778</v>
      </c>
      <c r="B10717">
        <v>19295</v>
      </c>
      <c r="C10717" t="s">
        <v>15779</v>
      </c>
      <c r="D10717" t="s">
        <v>6168</v>
      </c>
    </row>
    <row r="10718" spans="1:4">
      <c r="A10718" t="s">
        <v>15780</v>
      </c>
      <c r="B10718">
        <v>31736</v>
      </c>
      <c r="C10718" t="s">
        <v>6535</v>
      </c>
      <c r="D10718" t="s">
        <v>6168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15781</v>
      </c>
      <c r="B10720">
        <v>20601</v>
      </c>
      <c r="C10720" t="s">
        <v>444</v>
      </c>
      <c r="D10720" t="s">
        <v>6314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15782</v>
      </c>
      <c r="B10722">
        <v>30745</v>
      </c>
      <c r="C10722" t="s">
        <v>8533</v>
      </c>
      <c r="D10722" t="s">
        <v>6168</v>
      </c>
    </row>
    <row r="10723" spans="1:4">
      <c r="A10723" t="s">
        <v>15783</v>
      </c>
      <c r="B10723">
        <v>31785</v>
      </c>
      <c r="C10723" t="s">
        <v>9222</v>
      </c>
      <c r="D10723" t="s">
        <v>6168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16970</v>
      </c>
      <c r="B10725">
        <v>44035</v>
      </c>
      <c r="C10725" t="s">
        <v>2434</v>
      </c>
      <c r="D10725" t="s">
        <v>6245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15784</v>
      </c>
      <c r="B10727">
        <v>22731</v>
      </c>
      <c r="C10727" t="s">
        <v>15785</v>
      </c>
      <c r="D10727" t="s">
        <v>6168</v>
      </c>
    </row>
    <row r="10728" spans="1:4">
      <c r="A10728" t="s">
        <v>15786</v>
      </c>
      <c r="B10728">
        <v>22732</v>
      </c>
      <c r="C10728" t="s">
        <v>1903</v>
      </c>
      <c r="D10728" t="s">
        <v>6168</v>
      </c>
    </row>
    <row r="10729" spans="1:4">
      <c r="A10729" t="s">
        <v>16911</v>
      </c>
      <c r="B10729">
        <v>43981</v>
      </c>
      <c r="C10729" t="s">
        <v>16912</v>
      </c>
      <c r="D10729" t="s">
        <v>6605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15787</v>
      </c>
      <c r="B10731">
        <v>4455</v>
      </c>
      <c r="C10731" t="s">
        <v>6554</v>
      </c>
      <c r="D10731" t="s">
        <v>6168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15788</v>
      </c>
      <c r="B10733">
        <v>42240</v>
      </c>
      <c r="C10733" t="s">
        <v>5975</v>
      </c>
      <c r="D10733" t="s">
        <v>6267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15789</v>
      </c>
      <c r="B10735">
        <v>42817</v>
      </c>
      <c r="C10735" t="s">
        <v>1201</v>
      </c>
      <c r="D10735" t="s">
        <v>6168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15790</v>
      </c>
      <c r="B10739">
        <v>22734</v>
      </c>
      <c r="C10739" t="s">
        <v>15791</v>
      </c>
      <c r="D10739" t="s">
        <v>6168</v>
      </c>
    </row>
    <row r="10740" spans="1:4">
      <c r="A10740" t="s">
        <v>15792</v>
      </c>
      <c r="B10740">
        <v>4183</v>
      </c>
      <c r="D10740" t="s">
        <v>6605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15793</v>
      </c>
      <c r="B10742">
        <v>29757</v>
      </c>
      <c r="C10742" t="s">
        <v>3432</v>
      </c>
      <c r="D10742" t="s">
        <v>6168</v>
      </c>
    </row>
    <row r="10743" spans="1:4">
      <c r="A10743" t="s">
        <v>15794</v>
      </c>
      <c r="B10743">
        <v>29756</v>
      </c>
      <c r="C10743" t="s">
        <v>3432</v>
      </c>
      <c r="D10743" t="s">
        <v>6168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15795</v>
      </c>
      <c r="B10745">
        <v>29676</v>
      </c>
      <c r="C10745" t="s">
        <v>8466</v>
      </c>
      <c r="D10745" t="s">
        <v>6168</v>
      </c>
    </row>
    <row r="10746" spans="1:4">
      <c r="A10746" t="s">
        <v>15796</v>
      </c>
      <c r="B10746">
        <v>29753</v>
      </c>
      <c r="C10746" t="s">
        <v>8466</v>
      </c>
      <c r="D10746" t="s">
        <v>6168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15797</v>
      </c>
      <c r="B10751">
        <v>2551</v>
      </c>
      <c r="C10751" t="s">
        <v>15798</v>
      </c>
      <c r="D10751" t="s">
        <v>6168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15799</v>
      </c>
      <c r="B10753">
        <v>4609</v>
      </c>
      <c r="C10753" t="s">
        <v>15800</v>
      </c>
      <c r="D10753" t="s">
        <v>6245</v>
      </c>
    </row>
    <row r="10754" spans="1:4">
      <c r="A10754" t="s">
        <v>15801</v>
      </c>
      <c r="B10754">
        <v>24886</v>
      </c>
      <c r="C10754" t="s">
        <v>15802</v>
      </c>
      <c r="D10754" t="s">
        <v>6605</v>
      </c>
    </row>
    <row r="10755" spans="1:4">
      <c r="A10755" t="s">
        <v>15803</v>
      </c>
      <c r="B10755">
        <v>42405</v>
      </c>
      <c r="C10755" t="s">
        <v>15804</v>
      </c>
      <c r="D10755" t="s">
        <v>6305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15805</v>
      </c>
      <c r="B10757">
        <v>285</v>
      </c>
      <c r="D10757" t="s">
        <v>6305</v>
      </c>
    </row>
    <row r="10758" spans="1:4">
      <c r="A10758" t="s">
        <v>15806</v>
      </c>
      <c r="B10758">
        <v>3146</v>
      </c>
      <c r="D10758" t="s">
        <v>6305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15807</v>
      </c>
      <c r="B10760">
        <v>42606</v>
      </c>
      <c r="C10760" t="s">
        <v>1428</v>
      </c>
      <c r="D10760" t="s">
        <v>6168</v>
      </c>
    </row>
    <row r="10761" spans="1:4">
      <c r="A10761" t="s">
        <v>15808</v>
      </c>
      <c r="B10761">
        <v>29165</v>
      </c>
      <c r="C10761" t="s">
        <v>1458</v>
      </c>
      <c r="D10761" t="s">
        <v>6168</v>
      </c>
    </row>
    <row r="10762" spans="1:4">
      <c r="A10762" t="s">
        <v>15809</v>
      </c>
      <c r="B10762">
        <v>30384</v>
      </c>
      <c r="C10762" t="s">
        <v>11140</v>
      </c>
      <c r="D10762" t="s">
        <v>6168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15810</v>
      </c>
      <c r="B10764">
        <v>4043</v>
      </c>
      <c r="C10764" t="s">
        <v>3002</v>
      </c>
      <c r="D10764" t="s">
        <v>6292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15811</v>
      </c>
      <c r="B10766">
        <v>42949</v>
      </c>
      <c r="C10766" t="s">
        <v>11794</v>
      </c>
      <c r="D10766" t="s">
        <v>6168</v>
      </c>
    </row>
    <row r="10767" spans="1:4">
      <c r="A10767" t="s">
        <v>17081</v>
      </c>
      <c r="B10767">
        <v>44338</v>
      </c>
      <c r="C10767" t="s">
        <v>17082</v>
      </c>
      <c r="D10767" t="s">
        <v>6168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15812</v>
      </c>
      <c r="B10769">
        <v>39078</v>
      </c>
      <c r="C10769" t="s">
        <v>6219</v>
      </c>
      <c r="D10769" t="s">
        <v>6168</v>
      </c>
    </row>
    <row r="10770" spans="1:4">
      <c r="A10770" t="s">
        <v>16913</v>
      </c>
      <c r="B10770">
        <v>43982</v>
      </c>
      <c r="C10770" t="s">
        <v>148</v>
      </c>
      <c r="D10770" t="s">
        <v>123</v>
      </c>
    </row>
    <row r="10771" spans="1:4">
      <c r="A10771" t="s">
        <v>16971</v>
      </c>
      <c r="B10771">
        <v>44036</v>
      </c>
      <c r="C10771" t="s">
        <v>148</v>
      </c>
      <c r="D10771" t="s">
        <v>6168</v>
      </c>
    </row>
    <row r="10772" spans="1:4">
      <c r="A10772" t="s">
        <v>16972</v>
      </c>
      <c r="B10772">
        <v>44037</v>
      </c>
      <c r="C10772" t="s">
        <v>15989</v>
      </c>
      <c r="D10772" t="s">
        <v>6168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17357</v>
      </c>
      <c r="B10774">
        <v>45450</v>
      </c>
      <c r="C10774" t="s">
        <v>6697</v>
      </c>
      <c r="D10774" t="s">
        <v>6168</v>
      </c>
    </row>
    <row r="10775" spans="1:4">
      <c r="A10775" t="s">
        <v>17358</v>
      </c>
      <c r="B10775">
        <v>45451</v>
      </c>
      <c r="C10775" t="s">
        <v>17359</v>
      </c>
      <c r="D10775" t="s">
        <v>6168</v>
      </c>
    </row>
    <row r="10776" spans="1:4">
      <c r="A10776" t="s">
        <v>15813</v>
      </c>
      <c r="B10776">
        <v>24301</v>
      </c>
      <c r="C10776" t="s">
        <v>6657</v>
      </c>
      <c r="D10776" t="s">
        <v>6168</v>
      </c>
    </row>
    <row r="10777" spans="1:4">
      <c r="A10777" t="s">
        <v>15814</v>
      </c>
      <c r="B10777">
        <v>35093</v>
      </c>
      <c r="C10777" t="s">
        <v>10111</v>
      </c>
      <c r="D10777" t="s">
        <v>6168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15815</v>
      </c>
      <c r="B10779">
        <v>39577</v>
      </c>
      <c r="C10779" t="s">
        <v>1201</v>
      </c>
      <c r="D10779" t="s">
        <v>6267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17484</v>
      </c>
      <c r="B10781">
        <v>45771</v>
      </c>
      <c r="C10781" t="s">
        <v>5872</v>
      </c>
      <c r="D10781" t="s">
        <v>123</v>
      </c>
    </row>
    <row r="10782" spans="1:4">
      <c r="A10782" t="s">
        <v>17537</v>
      </c>
      <c r="B10782">
        <v>45956</v>
      </c>
      <c r="C10782" t="s">
        <v>17538</v>
      </c>
      <c r="D10782" t="s">
        <v>6168</v>
      </c>
    </row>
    <row r="10783" spans="1:4">
      <c r="A10783" t="s">
        <v>16914</v>
      </c>
      <c r="B10783">
        <v>43983</v>
      </c>
      <c r="C10783" t="s">
        <v>16915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15816</v>
      </c>
      <c r="B10786">
        <v>3773</v>
      </c>
      <c r="C10786" t="s">
        <v>4066</v>
      </c>
      <c r="D10786" t="s">
        <v>6168</v>
      </c>
    </row>
    <row r="10787" spans="1:4">
      <c r="A10787" t="s">
        <v>15817</v>
      </c>
      <c r="B10787">
        <v>3774</v>
      </c>
      <c r="C10787" t="s">
        <v>4068</v>
      </c>
      <c r="D10787" t="s">
        <v>6168</v>
      </c>
    </row>
    <row r="10788" spans="1:4">
      <c r="A10788" t="s">
        <v>15818</v>
      </c>
      <c r="B10788">
        <v>43567</v>
      </c>
      <c r="C10788" t="s">
        <v>15819</v>
      </c>
      <c r="D10788" t="s">
        <v>123</v>
      </c>
    </row>
    <row r="10789" spans="1:4">
      <c r="A10789" t="s">
        <v>15820</v>
      </c>
      <c r="B10789">
        <v>24887</v>
      </c>
      <c r="D10789" t="s">
        <v>6292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17360</v>
      </c>
      <c r="B10792">
        <v>45452</v>
      </c>
      <c r="C10792" t="s">
        <v>5352</v>
      </c>
      <c r="D10792" t="s">
        <v>6168</v>
      </c>
    </row>
    <row r="10793" spans="1:4">
      <c r="A10793" t="s">
        <v>15821</v>
      </c>
      <c r="B10793">
        <v>25433</v>
      </c>
      <c r="C10793" t="s">
        <v>4116</v>
      </c>
      <c r="D10793" t="s">
        <v>6168</v>
      </c>
    </row>
    <row r="10794" spans="1:4">
      <c r="A10794" t="s">
        <v>17361</v>
      </c>
      <c r="B10794">
        <v>45453</v>
      </c>
      <c r="C10794" t="s">
        <v>465</v>
      </c>
      <c r="D10794" t="s">
        <v>123</v>
      </c>
    </row>
    <row r="10795" spans="1:4">
      <c r="A10795" t="s">
        <v>17418</v>
      </c>
      <c r="B10795">
        <v>45507</v>
      </c>
      <c r="C10795" t="s">
        <v>4950</v>
      </c>
      <c r="D10795" t="s">
        <v>6168</v>
      </c>
    </row>
    <row r="10796" spans="1:4">
      <c r="A10796" t="s">
        <v>17485</v>
      </c>
      <c r="B10796">
        <v>45772</v>
      </c>
      <c r="C10796" t="s">
        <v>10318</v>
      </c>
      <c r="D10796" t="s">
        <v>6168</v>
      </c>
    </row>
    <row r="10797" spans="1:4">
      <c r="A10797" t="s">
        <v>17419</v>
      </c>
      <c r="B10797">
        <v>45508</v>
      </c>
      <c r="C10797" t="s">
        <v>6851</v>
      </c>
      <c r="D10797" t="s">
        <v>6168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15822</v>
      </c>
      <c r="B10799">
        <v>25372</v>
      </c>
      <c r="C10799" t="s">
        <v>10668</v>
      </c>
      <c r="D10799" t="s">
        <v>6168</v>
      </c>
    </row>
    <row r="10800" spans="1:4">
      <c r="A10800" t="s">
        <v>15823</v>
      </c>
      <c r="B10800">
        <v>42136</v>
      </c>
      <c r="C10800" t="s">
        <v>5771</v>
      </c>
      <c r="D10800" t="s">
        <v>6168</v>
      </c>
    </row>
    <row r="10801" spans="1:4">
      <c r="A10801" t="s">
        <v>15824</v>
      </c>
      <c r="B10801">
        <v>25373</v>
      </c>
      <c r="C10801" t="s">
        <v>10729</v>
      </c>
      <c r="D10801" t="s">
        <v>6168</v>
      </c>
    </row>
    <row r="10802" spans="1:4">
      <c r="A10802" t="s">
        <v>17166</v>
      </c>
      <c r="B10802">
        <v>44464</v>
      </c>
      <c r="C10802" t="s">
        <v>10706</v>
      </c>
      <c r="D10802" t="s">
        <v>123</v>
      </c>
    </row>
    <row r="10803" spans="1:4">
      <c r="A10803" t="s">
        <v>17190</v>
      </c>
      <c r="B10803">
        <v>44510</v>
      </c>
      <c r="C10803" t="s">
        <v>17191</v>
      </c>
      <c r="D10803" t="s">
        <v>6168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15825</v>
      </c>
      <c r="B10805">
        <v>22736</v>
      </c>
      <c r="C10805" t="s">
        <v>15826</v>
      </c>
      <c r="D10805" t="s">
        <v>6168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15827</v>
      </c>
      <c r="B10809">
        <v>36123</v>
      </c>
      <c r="C10809" t="s">
        <v>4573</v>
      </c>
      <c r="D10809" t="s">
        <v>6168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15828</v>
      </c>
      <c r="B10812">
        <v>2483</v>
      </c>
      <c r="C10812" t="s">
        <v>12404</v>
      </c>
      <c r="D10812" t="s">
        <v>6168</v>
      </c>
    </row>
    <row r="10813" spans="1:4">
      <c r="A10813" t="s">
        <v>15829</v>
      </c>
      <c r="B10813">
        <v>2484</v>
      </c>
      <c r="C10813" t="s">
        <v>15830</v>
      </c>
      <c r="D10813" t="s">
        <v>6168</v>
      </c>
    </row>
    <row r="10814" spans="1:4">
      <c r="A10814" t="s">
        <v>15831</v>
      </c>
      <c r="B10814">
        <v>2485</v>
      </c>
      <c r="C10814" t="s">
        <v>15832</v>
      </c>
      <c r="D10814" t="s">
        <v>6168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15833</v>
      </c>
      <c r="B10816">
        <v>3145</v>
      </c>
      <c r="C10816" t="s">
        <v>8929</v>
      </c>
      <c r="D10816" t="s">
        <v>6168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15834</v>
      </c>
      <c r="B10818">
        <v>22738</v>
      </c>
      <c r="C10818" t="s">
        <v>7513</v>
      </c>
      <c r="D10818" t="s">
        <v>6168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15835</v>
      </c>
      <c r="B10821">
        <v>30526</v>
      </c>
      <c r="D10821" t="s">
        <v>6230</v>
      </c>
    </row>
    <row r="10822" spans="1:4">
      <c r="A10822" t="s">
        <v>15835</v>
      </c>
      <c r="B10822">
        <v>41053</v>
      </c>
      <c r="C10822" t="s">
        <v>15836</v>
      </c>
      <c r="D10822" t="s">
        <v>6230</v>
      </c>
    </row>
    <row r="10823" spans="1:4">
      <c r="A10823" t="s">
        <v>15837</v>
      </c>
      <c r="B10823">
        <v>4366</v>
      </c>
      <c r="C10823" t="s">
        <v>5360</v>
      </c>
      <c r="D10823" t="s">
        <v>6245</v>
      </c>
    </row>
    <row r="10824" spans="1:4">
      <c r="A10824" t="s">
        <v>16916</v>
      </c>
      <c r="B10824">
        <v>43984</v>
      </c>
      <c r="C10824" t="s">
        <v>16917</v>
      </c>
      <c r="D10824" t="s">
        <v>123</v>
      </c>
    </row>
    <row r="10825" spans="1:4">
      <c r="A10825" t="s">
        <v>16973</v>
      </c>
      <c r="B10825">
        <v>44038</v>
      </c>
      <c r="C10825" t="s">
        <v>6330</v>
      </c>
      <c r="D10825" t="s">
        <v>6168</v>
      </c>
    </row>
    <row r="10826" spans="1:4">
      <c r="A10826" t="s">
        <v>15838</v>
      </c>
      <c r="B10826">
        <v>43568</v>
      </c>
      <c r="C10826" t="s">
        <v>5739</v>
      </c>
      <c r="D10826" t="s">
        <v>134</v>
      </c>
    </row>
    <row r="10827" spans="1:4">
      <c r="A10827" t="s">
        <v>15839</v>
      </c>
      <c r="B10827">
        <v>43035</v>
      </c>
      <c r="C10827" t="s">
        <v>8084</v>
      </c>
      <c r="D10827" t="s">
        <v>6245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15840</v>
      </c>
      <c r="B10829">
        <v>22740</v>
      </c>
      <c r="C10829" t="s">
        <v>6558</v>
      </c>
      <c r="D10829" t="s">
        <v>6168</v>
      </c>
    </row>
    <row r="10830" spans="1:4">
      <c r="A10830" t="s">
        <v>15841</v>
      </c>
      <c r="B10830">
        <v>31817</v>
      </c>
      <c r="C10830" t="s">
        <v>15842</v>
      </c>
      <c r="D10830" t="s">
        <v>6168</v>
      </c>
    </row>
    <row r="10831" spans="1:4">
      <c r="A10831" t="s">
        <v>15843</v>
      </c>
      <c r="B10831">
        <v>22741</v>
      </c>
      <c r="C10831" t="s">
        <v>15842</v>
      </c>
      <c r="D10831" t="s">
        <v>6168</v>
      </c>
    </row>
    <row r="10832" spans="1:4">
      <c r="A10832" t="s">
        <v>15844</v>
      </c>
      <c r="B10832">
        <v>22742</v>
      </c>
      <c r="C10832" t="s">
        <v>8314</v>
      </c>
      <c r="D10832" t="s">
        <v>6168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16670</v>
      </c>
      <c r="B10834">
        <v>20583</v>
      </c>
      <c r="D10834" t="s">
        <v>6314</v>
      </c>
    </row>
    <row r="10835" spans="1:4">
      <c r="A10835" t="s">
        <v>16817</v>
      </c>
      <c r="B10835">
        <v>43832</v>
      </c>
      <c r="D10835" t="s">
        <v>6292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15845</v>
      </c>
      <c r="B10838">
        <v>23939</v>
      </c>
      <c r="C10838" t="s">
        <v>10366</v>
      </c>
      <c r="D10838" t="s">
        <v>6168</v>
      </c>
    </row>
    <row r="10839" spans="1:4">
      <c r="A10839" t="s">
        <v>15846</v>
      </c>
      <c r="B10839">
        <v>40425</v>
      </c>
      <c r="C10839" t="s">
        <v>680</v>
      </c>
      <c r="D10839" t="s">
        <v>6168</v>
      </c>
    </row>
    <row r="10840" spans="1:4">
      <c r="A10840" t="s">
        <v>15847</v>
      </c>
      <c r="B10840">
        <v>24889</v>
      </c>
      <c r="C10840" t="s">
        <v>15848</v>
      </c>
      <c r="D10840" t="s">
        <v>6168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15849</v>
      </c>
      <c r="B10842">
        <v>33935</v>
      </c>
      <c r="C10842" t="s">
        <v>15850</v>
      </c>
      <c r="D10842" t="s">
        <v>6168</v>
      </c>
    </row>
    <row r="10843" spans="1:4">
      <c r="A10843" t="s">
        <v>15851</v>
      </c>
      <c r="B10843">
        <v>23940</v>
      </c>
      <c r="C10843" t="s">
        <v>15852</v>
      </c>
      <c r="D10843" t="s">
        <v>6168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15853</v>
      </c>
      <c r="B10845">
        <v>35363</v>
      </c>
      <c r="C10845" t="s">
        <v>8104</v>
      </c>
      <c r="D10845" t="s">
        <v>6168</v>
      </c>
    </row>
    <row r="10846" spans="1:4">
      <c r="A10846" t="s">
        <v>15854</v>
      </c>
      <c r="B10846">
        <v>4607</v>
      </c>
      <c r="C10846" t="s">
        <v>16697</v>
      </c>
      <c r="D10846" t="s">
        <v>6241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15855</v>
      </c>
      <c r="B10848">
        <v>39708</v>
      </c>
      <c r="C10848" t="s">
        <v>646</v>
      </c>
      <c r="D10848" t="s">
        <v>6168</v>
      </c>
    </row>
    <row r="10849" spans="1:4">
      <c r="A10849" t="s">
        <v>15856</v>
      </c>
      <c r="B10849">
        <v>23443</v>
      </c>
      <c r="C10849" t="s">
        <v>2633</v>
      </c>
      <c r="D10849" t="s">
        <v>6168</v>
      </c>
    </row>
    <row r="10850" spans="1:4">
      <c r="A10850" t="s">
        <v>15857</v>
      </c>
      <c r="B10850">
        <v>42137</v>
      </c>
      <c r="C10850" t="s">
        <v>13880</v>
      </c>
      <c r="D10850" t="s">
        <v>6168</v>
      </c>
    </row>
    <row r="10851" spans="1:4">
      <c r="A10851" t="s">
        <v>15858</v>
      </c>
      <c r="B10851">
        <v>42138</v>
      </c>
      <c r="C10851" t="s">
        <v>15859</v>
      </c>
      <c r="D10851" t="s">
        <v>6168</v>
      </c>
    </row>
    <row r="10852" spans="1:4">
      <c r="A10852" t="s">
        <v>15860</v>
      </c>
      <c r="B10852">
        <v>26058</v>
      </c>
      <c r="C10852" t="s">
        <v>2831</v>
      </c>
      <c r="D10852" t="s">
        <v>6168</v>
      </c>
    </row>
    <row r="10853" spans="1:4">
      <c r="A10853" t="s">
        <v>15861</v>
      </c>
      <c r="B10853">
        <v>25525</v>
      </c>
      <c r="C10853" t="s">
        <v>2633</v>
      </c>
      <c r="D10853" t="s">
        <v>6168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15862</v>
      </c>
      <c r="B10855">
        <v>29261</v>
      </c>
      <c r="C10855" t="s">
        <v>4950</v>
      </c>
      <c r="D10855" t="s">
        <v>6168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15863</v>
      </c>
      <c r="B10858">
        <v>35390</v>
      </c>
      <c r="C10858" t="s">
        <v>10752</v>
      </c>
      <c r="D10858" t="s">
        <v>6168</v>
      </c>
    </row>
    <row r="10859" spans="1:4">
      <c r="A10859" t="s">
        <v>15864</v>
      </c>
      <c r="B10859">
        <v>27386</v>
      </c>
      <c r="C10859" t="s">
        <v>15865</v>
      </c>
      <c r="D10859" t="s">
        <v>6168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15866</v>
      </c>
      <c r="B10861">
        <v>22744</v>
      </c>
      <c r="C10861" t="s">
        <v>264</v>
      </c>
      <c r="D10861" t="s">
        <v>6314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15867</v>
      </c>
      <c r="B10863">
        <v>22746</v>
      </c>
      <c r="C10863" t="s">
        <v>6560</v>
      </c>
      <c r="D10863" t="s">
        <v>6168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15868</v>
      </c>
      <c r="B10865">
        <v>29748</v>
      </c>
      <c r="C10865" t="s">
        <v>6409</v>
      </c>
      <c r="D10865" t="s">
        <v>6168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15869</v>
      </c>
      <c r="B10867">
        <v>4435</v>
      </c>
      <c r="C10867" t="s">
        <v>15870</v>
      </c>
      <c r="D10867" t="s">
        <v>6168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15871</v>
      </c>
      <c r="B10869">
        <v>960</v>
      </c>
      <c r="D10869" t="s">
        <v>6168</v>
      </c>
    </row>
    <row r="10870" spans="1:4">
      <c r="A10870" t="s">
        <v>17581</v>
      </c>
      <c r="B10870">
        <v>46851</v>
      </c>
      <c r="C10870" t="s">
        <v>17582</v>
      </c>
      <c r="D10870" t="s">
        <v>123</v>
      </c>
    </row>
    <row r="10871" spans="1:4">
      <c r="A10871" t="s">
        <v>17586</v>
      </c>
      <c r="B10871">
        <v>46866</v>
      </c>
      <c r="C10871" t="s">
        <v>6546</v>
      </c>
      <c r="D10871" t="s">
        <v>6168</v>
      </c>
    </row>
    <row r="10872" spans="1:4">
      <c r="A10872" t="s">
        <v>17558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15872</v>
      </c>
      <c r="B10874">
        <v>25374</v>
      </c>
      <c r="C10874" t="s">
        <v>15873</v>
      </c>
      <c r="D10874" t="s">
        <v>6168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15874</v>
      </c>
      <c r="B10876">
        <v>39647</v>
      </c>
      <c r="C10876" t="s">
        <v>5739</v>
      </c>
      <c r="D10876" t="s">
        <v>6267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15875</v>
      </c>
      <c r="B10878">
        <v>36442</v>
      </c>
      <c r="C10878" t="s">
        <v>8150</v>
      </c>
      <c r="D10878" t="s">
        <v>6168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15876</v>
      </c>
      <c r="B10880">
        <v>41279</v>
      </c>
      <c r="C10880" t="s">
        <v>6216</v>
      </c>
      <c r="D10880" t="s">
        <v>6168</v>
      </c>
    </row>
    <row r="10881" spans="1:4">
      <c r="A10881" t="s">
        <v>15877</v>
      </c>
      <c r="B10881">
        <v>36122</v>
      </c>
      <c r="C10881" t="s">
        <v>15878</v>
      </c>
      <c r="D10881" t="s">
        <v>6168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15879</v>
      </c>
      <c r="B10883">
        <v>19351</v>
      </c>
      <c r="D10883" t="s">
        <v>6168</v>
      </c>
    </row>
    <row r="10884" spans="1:4">
      <c r="A10884" t="s">
        <v>15880</v>
      </c>
      <c r="B10884">
        <v>19352</v>
      </c>
      <c r="D10884" t="s">
        <v>6168</v>
      </c>
    </row>
    <row r="10885" spans="1:4">
      <c r="A10885" t="s">
        <v>15881</v>
      </c>
      <c r="B10885">
        <v>2980</v>
      </c>
      <c r="C10885" t="s">
        <v>15882</v>
      </c>
      <c r="D10885" t="s">
        <v>6168</v>
      </c>
    </row>
    <row r="10886" spans="1:4">
      <c r="A10886" t="s">
        <v>15883</v>
      </c>
      <c r="B10886">
        <v>19302</v>
      </c>
      <c r="C10886" t="s">
        <v>15884</v>
      </c>
      <c r="D10886" t="s">
        <v>6168</v>
      </c>
    </row>
    <row r="10887" spans="1:4">
      <c r="A10887" t="s">
        <v>15885</v>
      </c>
      <c r="B10887">
        <v>20354</v>
      </c>
      <c r="C10887" t="s">
        <v>15886</v>
      </c>
      <c r="D10887" t="s">
        <v>6168</v>
      </c>
    </row>
    <row r="10888" spans="1:4">
      <c r="A10888" t="s">
        <v>15887</v>
      </c>
      <c r="B10888">
        <v>19353</v>
      </c>
      <c r="D10888" t="s">
        <v>6168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15888</v>
      </c>
      <c r="B10890">
        <v>42140</v>
      </c>
      <c r="C10890" t="s">
        <v>9462</v>
      </c>
      <c r="D10890" t="s">
        <v>6168</v>
      </c>
    </row>
    <row r="10891" spans="1:4">
      <c r="A10891" t="s">
        <v>15889</v>
      </c>
      <c r="B10891">
        <v>41715</v>
      </c>
      <c r="C10891" t="s">
        <v>15890</v>
      </c>
      <c r="D10891" t="s">
        <v>6168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15891</v>
      </c>
      <c r="B10893">
        <v>19354</v>
      </c>
      <c r="D10893" t="s">
        <v>6168</v>
      </c>
    </row>
    <row r="10894" spans="1:4">
      <c r="A10894" t="s">
        <v>15892</v>
      </c>
      <c r="B10894">
        <v>19355</v>
      </c>
      <c r="D10894" t="s">
        <v>6168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15893</v>
      </c>
      <c r="B10896">
        <v>23943</v>
      </c>
      <c r="C10896" t="s">
        <v>10729</v>
      </c>
      <c r="D10896" t="s">
        <v>6168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15894</v>
      </c>
      <c r="B10898">
        <v>22748</v>
      </c>
      <c r="C10898" t="s">
        <v>991</v>
      </c>
      <c r="D10898" t="s">
        <v>6168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15895</v>
      </c>
      <c r="B10900">
        <v>40847</v>
      </c>
      <c r="C10900" t="s">
        <v>15896</v>
      </c>
      <c r="D10900" t="s">
        <v>6168</v>
      </c>
    </row>
    <row r="10901" spans="1:4">
      <c r="A10901" t="s">
        <v>17050</v>
      </c>
      <c r="B10901">
        <v>44300</v>
      </c>
      <c r="C10901" t="s">
        <v>2494</v>
      </c>
      <c r="D10901" t="s">
        <v>123</v>
      </c>
    </row>
    <row r="10902" spans="1:4">
      <c r="A10902" t="s">
        <v>16974</v>
      </c>
      <c r="B10902">
        <v>44040</v>
      </c>
      <c r="C10902" t="s">
        <v>16975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15897</v>
      </c>
      <c r="B10904">
        <v>29674</v>
      </c>
      <c r="C10904" t="s">
        <v>8468</v>
      </c>
      <c r="D10904" t="s">
        <v>6168</v>
      </c>
    </row>
    <row r="10905" spans="1:4">
      <c r="A10905" t="s">
        <v>15898</v>
      </c>
      <c r="B10905">
        <v>29657</v>
      </c>
      <c r="C10905" t="s">
        <v>8468</v>
      </c>
      <c r="D10905" t="s">
        <v>6168</v>
      </c>
    </row>
    <row r="10906" spans="1:4">
      <c r="A10906" t="s">
        <v>15899</v>
      </c>
      <c r="B10906">
        <v>30242</v>
      </c>
      <c r="C10906" t="s">
        <v>3986</v>
      </c>
      <c r="D10906" t="s">
        <v>6168</v>
      </c>
    </row>
    <row r="10907" spans="1:4">
      <c r="A10907" t="s">
        <v>15900</v>
      </c>
      <c r="B10907">
        <v>40423</v>
      </c>
      <c r="C10907" t="s">
        <v>15901</v>
      </c>
      <c r="D10907" t="s">
        <v>6245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15902</v>
      </c>
      <c r="B10911">
        <v>30714</v>
      </c>
      <c r="C10911" t="s">
        <v>13820</v>
      </c>
      <c r="D10911" t="s">
        <v>6168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15903</v>
      </c>
      <c r="B10914">
        <v>24305</v>
      </c>
      <c r="D10914" t="s">
        <v>6230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15904</v>
      </c>
      <c r="B10917">
        <v>29259</v>
      </c>
      <c r="C10917" t="s">
        <v>8755</v>
      </c>
      <c r="D10917" t="s">
        <v>6168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15905</v>
      </c>
      <c r="B10919">
        <v>20546</v>
      </c>
      <c r="C10919" t="s">
        <v>8630</v>
      </c>
      <c r="D10919" t="s">
        <v>6168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15906</v>
      </c>
      <c r="B10923">
        <v>30755</v>
      </c>
      <c r="C10923" t="s">
        <v>8005</v>
      </c>
      <c r="D10923" t="s">
        <v>6168</v>
      </c>
    </row>
    <row r="10924" spans="1:4">
      <c r="A10924" t="s">
        <v>15907</v>
      </c>
      <c r="B10924">
        <v>35275</v>
      </c>
      <c r="C10924" t="s">
        <v>15908</v>
      </c>
      <c r="D10924" t="s">
        <v>6168</v>
      </c>
    </row>
    <row r="10925" spans="1:4">
      <c r="A10925" t="s">
        <v>15909</v>
      </c>
      <c r="B10925">
        <v>35276</v>
      </c>
      <c r="C10925" t="s">
        <v>3432</v>
      </c>
      <c r="D10925" t="s">
        <v>6168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15910</v>
      </c>
      <c r="B10929">
        <v>42142</v>
      </c>
      <c r="C10929" t="s">
        <v>15911</v>
      </c>
      <c r="D10929" t="s">
        <v>6168</v>
      </c>
    </row>
    <row r="10930" spans="1:4">
      <c r="A10930" t="s">
        <v>15912</v>
      </c>
      <c r="B10930">
        <v>42143</v>
      </c>
      <c r="C10930" t="s">
        <v>646</v>
      </c>
      <c r="D10930" t="s">
        <v>6168</v>
      </c>
    </row>
    <row r="10931" spans="1:4">
      <c r="A10931" t="s">
        <v>15913</v>
      </c>
      <c r="B10931">
        <v>35261</v>
      </c>
      <c r="C10931" t="s">
        <v>15914</v>
      </c>
      <c r="D10931" t="s">
        <v>6168</v>
      </c>
    </row>
    <row r="10932" spans="1:4">
      <c r="A10932" t="s">
        <v>15915</v>
      </c>
      <c r="B10932">
        <v>35262</v>
      </c>
      <c r="C10932" t="s">
        <v>15916</v>
      </c>
      <c r="D10932" t="s">
        <v>6168</v>
      </c>
    </row>
    <row r="10933" spans="1:4">
      <c r="A10933" t="s">
        <v>15917</v>
      </c>
      <c r="B10933">
        <v>42144</v>
      </c>
      <c r="C10933" t="s">
        <v>15918</v>
      </c>
      <c r="D10933" t="s">
        <v>6168</v>
      </c>
    </row>
    <row r="10934" spans="1:4">
      <c r="A10934" t="s">
        <v>15919</v>
      </c>
      <c r="B10934">
        <v>26055</v>
      </c>
      <c r="C10934" t="s">
        <v>15920</v>
      </c>
      <c r="D10934" t="s">
        <v>6168</v>
      </c>
    </row>
    <row r="10935" spans="1:4">
      <c r="A10935" t="s">
        <v>15921</v>
      </c>
      <c r="B10935">
        <v>26054</v>
      </c>
      <c r="C10935" t="s">
        <v>13073</v>
      </c>
      <c r="D10935" t="s">
        <v>6168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15922</v>
      </c>
      <c r="B10937">
        <v>25262</v>
      </c>
      <c r="C10937" t="s">
        <v>1899</v>
      </c>
      <c r="D10937" t="s">
        <v>6168</v>
      </c>
    </row>
    <row r="10938" spans="1:4">
      <c r="A10938" t="s">
        <v>15923</v>
      </c>
      <c r="B10938">
        <v>33933</v>
      </c>
      <c r="C10938" t="s">
        <v>15924</v>
      </c>
      <c r="D10938" t="s">
        <v>6267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15925</v>
      </c>
      <c r="B10940">
        <v>35263</v>
      </c>
      <c r="C10940" t="s">
        <v>15926</v>
      </c>
      <c r="D10940" t="s">
        <v>6168</v>
      </c>
    </row>
    <row r="10941" spans="1:4">
      <c r="A10941" t="s">
        <v>15927</v>
      </c>
      <c r="B10941">
        <v>26053</v>
      </c>
      <c r="C10941" t="s">
        <v>2626</v>
      </c>
      <c r="D10941" t="s">
        <v>6168</v>
      </c>
    </row>
    <row r="10942" spans="1:4">
      <c r="A10942" t="s">
        <v>15928</v>
      </c>
      <c r="B10942">
        <v>25527</v>
      </c>
      <c r="C10942" t="s">
        <v>8434</v>
      </c>
      <c r="D10942" t="s">
        <v>6168</v>
      </c>
    </row>
    <row r="10943" spans="1:4">
      <c r="A10943" t="s">
        <v>15929</v>
      </c>
      <c r="B10943">
        <v>33932</v>
      </c>
      <c r="C10943" t="s">
        <v>15930</v>
      </c>
      <c r="D10943" t="s">
        <v>6168</v>
      </c>
    </row>
    <row r="10944" spans="1:4">
      <c r="A10944" t="s">
        <v>15931</v>
      </c>
      <c r="B10944">
        <v>35264</v>
      </c>
      <c r="C10944" t="s">
        <v>15932</v>
      </c>
      <c r="D10944" t="s">
        <v>6168</v>
      </c>
    </row>
    <row r="10945" spans="1:4">
      <c r="A10945" t="s">
        <v>15933</v>
      </c>
      <c r="B10945">
        <v>23593</v>
      </c>
      <c r="C10945" t="s">
        <v>2930</v>
      </c>
      <c r="D10945" t="s">
        <v>6168</v>
      </c>
    </row>
    <row r="10946" spans="1:4">
      <c r="A10946" t="s">
        <v>15934</v>
      </c>
      <c r="B10946">
        <v>35265</v>
      </c>
      <c r="C10946" t="s">
        <v>14317</v>
      </c>
      <c r="D10946" t="s">
        <v>6168</v>
      </c>
    </row>
    <row r="10947" spans="1:4">
      <c r="A10947" t="s">
        <v>15935</v>
      </c>
      <c r="B10947">
        <v>43018</v>
      </c>
      <c r="C10947" t="s">
        <v>626</v>
      </c>
      <c r="D10947" t="s">
        <v>6168</v>
      </c>
    </row>
    <row r="10948" spans="1:4">
      <c r="A10948" t="s">
        <v>15936</v>
      </c>
      <c r="B10948">
        <v>29258</v>
      </c>
      <c r="C10948" t="s">
        <v>15937</v>
      </c>
      <c r="D10948" t="s">
        <v>6168</v>
      </c>
    </row>
    <row r="10949" spans="1:4">
      <c r="A10949" t="s">
        <v>15938</v>
      </c>
      <c r="B10949">
        <v>35266</v>
      </c>
      <c r="C10949" t="s">
        <v>15939</v>
      </c>
      <c r="D10949" t="s">
        <v>6168</v>
      </c>
    </row>
    <row r="10950" spans="1:4">
      <c r="A10950" t="s">
        <v>15940</v>
      </c>
      <c r="B10950">
        <v>35267</v>
      </c>
      <c r="C10950" t="s">
        <v>15941</v>
      </c>
      <c r="D10950" t="s">
        <v>6168</v>
      </c>
    </row>
    <row r="10951" spans="1:4">
      <c r="A10951" t="s">
        <v>15942</v>
      </c>
      <c r="B10951">
        <v>23444</v>
      </c>
      <c r="C10951" t="s">
        <v>5279</v>
      </c>
      <c r="D10951" t="s">
        <v>6168</v>
      </c>
    </row>
    <row r="10952" spans="1:4">
      <c r="A10952" t="s">
        <v>15943</v>
      </c>
      <c r="B10952">
        <v>23445</v>
      </c>
      <c r="C10952" t="s">
        <v>1379</v>
      </c>
      <c r="D10952" t="s">
        <v>6168</v>
      </c>
    </row>
    <row r="10953" spans="1:4">
      <c r="A10953" t="s">
        <v>15944</v>
      </c>
      <c r="B10953">
        <v>26052</v>
      </c>
      <c r="C10953" t="s">
        <v>1294</v>
      </c>
      <c r="D10953" t="s">
        <v>6168</v>
      </c>
    </row>
    <row r="10954" spans="1:4">
      <c r="A10954" t="s">
        <v>15945</v>
      </c>
      <c r="B10954">
        <v>33931</v>
      </c>
      <c r="C10954" t="s">
        <v>15946</v>
      </c>
      <c r="D10954" t="s">
        <v>6168</v>
      </c>
    </row>
    <row r="10955" spans="1:4">
      <c r="A10955" t="s">
        <v>15947</v>
      </c>
      <c r="B10955">
        <v>42145</v>
      </c>
      <c r="C10955" t="s">
        <v>15948</v>
      </c>
      <c r="D10955" t="s">
        <v>6168</v>
      </c>
    </row>
    <row r="10956" spans="1:4">
      <c r="A10956" t="s">
        <v>15949</v>
      </c>
      <c r="B10956">
        <v>31269</v>
      </c>
      <c r="C10956" t="s">
        <v>15950</v>
      </c>
      <c r="D10956" t="s">
        <v>6168</v>
      </c>
    </row>
    <row r="10957" spans="1:4">
      <c r="A10957" t="s">
        <v>15951</v>
      </c>
      <c r="B10957">
        <v>29257</v>
      </c>
      <c r="C10957" t="s">
        <v>15950</v>
      </c>
      <c r="D10957" t="s">
        <v>6168</v>
      </c>
    </row>
    <row r="10958" spans="1:4">
      <c r="A10958" t="s">
        <v>15952</v>
      </c>
      <c r="B10958">
        <v>23446</v>
      </c>
      <c r="C10958" t="s">
        <v>15953</v>
      </c>
      <c r="D10958" t="s">
        <v>6168</v>
      </c>
    </row>
    <row r="10959" spans="1:4">
      <c r="A10959" t="s">
        <v>15954</v>
      </c>
      <c r="B10959">
        <v>26051</v>
      </c>
      <c r="C10959" t="s">
        <v>1301</v>
      </c>
      <c r="D10959" t="s">
        <v>6168</v>
      </c>
    </row>
    <row r="10960" spans="1:4">
      <c r="A10960" t="s">
        <v>17362</v>
      </c>
      <c r="B10960">
        <v>45454</v>
      </c>
      <c r="C10960" t="s">
        <v>17363</v>
      </c>
      <c r="D10960" t="s">
        <v>6168</v>
      </c>
    </row>
    <row r="10961" spans="1:4">
      <c r="A10961" t="s">
        <v>15955</v>
      </c>
      <c r="B10961">
        <v>26050</v>
      </c>
      <c r="C10961" t="s">
        <v>2396</v>
      </c>
      <c r="D10961" t="s">
        <v>6168</v>
      </c>
    </row>
    <row r="10962" spans="1:4">
      <c r="A10962" t="s">
        <v>15956</v>
      </c>
      <c r="B10962">
        <v>26049</v>
      </c>
      <c r="C10962" t="s">
        <v>8174</v>
      </c>
      <c r="D10962" t="s">
        <v>6168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16677</v>
      </c>
      <c r="D10964" t="s">
        <v>123</v>
      </c>
    </row>
    <row r="10965" spans="1:4">
      <c r="A10965" t="s">
        <v>15957</v>
      </c>
      <c r="B10965">
        <v>2602</v>
      </c>
      <c r="C10965" t="s">
        <v>11316</v>
      </c>
      <c r="D10965" t="s">
        <v>6168</v>
      </c>
    </row>
    <row r="10966" spans="1:4">
      <c r="A10966" t="s">
        <v>15958</v>
      </c>
      <c r="B10966">
        <v>20547</v>
      </c>
      <c r="D10966" t="s">
        <v>6267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15959</v>
      </c>
      <c r="B10968">
        <v>2667</v>
      </c>
      <c r="C10968" t="s">
        <v>15038</v>
      </c>
      <c r="D10968" t="s">
        <v>6168</v>
      </c>
    </row>
    <row r="10969" spans="1:4">
      <c r="A10969" t="s">
        <v>15960</v>
      </c>
      <c r="B10969">
        <v>2668</v>
      </c>
      <c r="C10969" t="s">
        <v>13826</v>
      </c>
      <c r="D10969" t="s">
        <v>6168</v>
      </c>
    </row>
    <row r="10970" spans="1:4">
      <c r="A10970" t="s">
        <v>15961</v>
      </c>
      <c r="B10970">
        <v>2669</v>
      </c>
      <c r="C10970" t="s">
        <v>4950</v>
      </c>
      <c r="D10970" t="s">
        <v>6168</v>
      </c>
    </row>
    <row r="10971" spans="1:4">
      <c r="A10971" t="s">
        <v>15962</v>
      </c>
      <c r="B10971">
        <v>2670</v>
      </c>
      <c r="C10971" t="s">
        <v>8178</v>
      </c>
      <c r="D10971" t="s">
        <v>6168</v>
      </c>
    </row>
    <row r="10972" spans="1:4">
      <c r="A10972" t="s">
        <v>15963</v>
      </c>
      <c r="B10972">
        <v>2671</v>
      </c>
      <c r="C10972" t="s">
        <v>13826</v>
      </c>
      <c r="D10972" t="s">
        <v>6168</v>
      </c>
    </row>
    <row r="10973" spans="1:4">
      <c r="A10973" t="s">
        <v>15964</v>
      </c>
      <c r="B10973">
        <v>2672</v>
      </c>
      <c r="C10973" t="s">
        <v>15965</v>
      </c>
      <c r="D10973" t="s">
        <v>6168</v>
      </c>
    </row>
    <row r="10974" spans="1:4">
      <c r="A10974" t="s">
        <v>15966</v>
      </c>
      <c r="B10974">
        <v>2673</v>
      </c>
      <c r="C10974" t="s">
        <v>6436</v>
      </c>
      <c r="D10974" t="s">
        <v>6168</v>
      </c>
    </row>
    <row r="10975" spans="1:4">
      <c r="A10975" t="s">
        <v>15967</v>
      </c>
      <c r="B10975">
        <v>2674</v>
      </c>
      <c r="C10975" t="s">
        <v>1675</v>
      </c>
      <c r="D10975" t="s">
        <v>6168</v>
      </c>
    </row>
    <row r="10976" spans="1:4">
      <c r="A10976" t="s">
        <v>15968</v>
      </c>
      <c r="B10976">
        <v>2675</v>
      </c>
      <c r="C10976" t="s">
        <v>4950</v>
      </c>
      <c r="D10976" t="s">
        <v>6168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15969</v>
      </c>
      <c r="B10978">
        <v>41280</v>
      </c>
      <c r="C10978" t="s">
        <v>9205</v>
      </c>
      <c r="D10978" t="s">
        <v>6168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15970</v>
      </c>
      <c r="B10982">
        <v>2274</v>
      </c>
      <c r="C10982" t="s">
        <v>15971</v>
      </c>
      <c r="D10982" t="s">
        <v>6168</v>
      </c>
    </row>
    <row r="10983" spans="1:4">
      <c r="A10983" t="s">
        <v>15972</v>
      </c>
      <c r="B10983">
        <v>2273</v>
      </c>
      <c r="C10983" t="s">
        <v>15973</v>
      </c>
      <c r="D10983" t="s">
        <v>6168</v>
      </c>
    </row>
    <row r="10984" spans="1:4">
      <c r="A10984" t="s">
        <v>15974</v>
      </c>
      <c r="B10984">
        <v>30110</v>
      </c>
      <c r="C10984" t="s">
        <v>2156</v>
      </c>
      <c r="D10984" t="s">
        <v>6168</v>
      </c>
    </row>
    <row r="10985" spans="1:4">
      <c r="A10985" t="s">
        <v>15975</v>
      </c>
      <c r="B10985">
        <v>30095</v>
      </c>
      <c r="C10985" t="s">
        <v>15976</v>
      </c>
      <c r="D10985" t="s">
        <v>6168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15977</v>
      </c>
      <c r="B10989">
        <v>25528</v>
      </c>
      <c r="C10989" t="s">
        <v>15978</v>
      </c>
      <c r="D10989" t="s">
        <v>6168</v>
      </c>
    </row>
    <row r="10990" spans="1:4">
      <c r="A10990" t="s">
        <v>15979</v>
      </c>
      <c r="B10990">
        <v>31266</v>
      </c>
      <c r="C10990" t="s">
        <v>3063</v>
      </c>
      <c r="D10990" t="s">
        <v>6168</v>
      </c>
    </row>
    <row r="10991" spans="1:4">
      <c r="A10991" t="s">
        <v>15980</v>
      </c>
      <c r="B10991">
        <v>30500</v>
      </c>
      <c r="C10991" t="s">
        <v>15981</v>
      </c>
      <c r="D10991" t="s">
        <v>6168</v>
      </c>
    </row>
    <row r="10992" spans="1:4">
      <c r="A10992" t="s">
        <v>15982</v>
      </c>
      <c r="B10992">
        <v>23945</v>
      </c>
      <c r="C10992" t="s">
        <v>1395</v>
      </c>
      <c r="D10992" t="s">
        <v>6168</v>
      </c>
    </row>
    <row r="10993" spans="1:4">
      <c r="A10993" t="s">
        <v>15983</v>
      </c>
      <c r="B10993">
        <v>25656</v>
      </c>
      <c r="D10993" t="s">
        <v>6872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15984</v>
      </c>
      <c r="B10995">
        <v>39550</v>
      </c>
      <c r="C10995" t="s">
        <v>15985</v>
      </c>
      <c r="D10995" t="s">
        <v>6267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15986</v>
      </c>
      <c r="B10997">
        <v>40846</v>
      </c>
      <c r="C10997" t="s">
        <v>15987</v>
      </c>
      <c r="D10997" t="s">
        <v>6168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15988</v>
      </c>
      <c r="B11000">
        <v>29796</v>
      </c>
      <c r="C11000" t="s">
        <v>15989</v>
      </c>
      <c r="D11000" t="s">
        <v>6168</v>
      </c>
    </row>
    <row r="11001" spans="1:4">
      <c r="A11001" t="s">
        <v>15990</v>
      </c>
      <c r="B11001">
        <v>29802</v>
      </c>
      <c r="C11001" t="s">
        <v>15991</v>
      </c>
      <c r="D11001" t="s">
        <v>6168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15992</v>
      </c>
      <c r="B11003">
        <v>40419</v>
      </c>
      <c r="C11003" t="s">
        <v>15993</v>
      </c>
      <c r="D11003" t="s">
        <v>6168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15994</v>
      </c>
      <c r="B11005">
        <v>24939</v>
      </c>
      <c r="C11005" t="s">
        <v>15995</v>
      </c>
      <c r="D11005" t="s">
        <v>6168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15996</v>
      </c>
      <c r="B11010">
        <v>20584</v>
      </c>
      <c r="D11010" t="s">
        <v>6314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15997</v>
      </c>
      <c r="B11015">
        <v>20585</v>
      </c>
      <c r="D11015" t="s">
        <v>6314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15998</v>
      </c>
      <c r="B11021">
        <v>15</v>
      </c>
      <c r="C11021" t="s">
        <v>15999</v>
      </c>
      <c r="D11021" t="s">
        <v>6168</v>
      </c>
    </row>
    <row r="11022" spans="1:4">
      <c r="A11022" t="s">
        <v>16000</v>
      </c>
      <c r="B11022">
        <v>16</v>
      </c>
      <c r="C11022" t="s">
        <v>11810</v>
      </c>
      <c r="D11022" t="s">
        <v>6168</v>
      </c>
    </row>
    <row r="11023" spans="1:4">
      <c r="A11023" t="s">
        <v>16001</v>
      </c>
      <c r="B11023">
        <v>17</v>
      </c>
      <c r="C11023" t="s">
        <v>16002</v>
      </c>
      <c r="D11023" t="s">
        <v>6168</v>
      </c>
    </row>
    <row r="11024" spans="1:4">
      <c r="A11024" t="s">
        <v>16003</v>
      </c>
      <c r="B11024">
        <v>18</v>
      </c>
      <c r="C11024" t="s">
        <v>4950</v>
      </c>
      <c r="D11024" t="s">
        <v>6168</v>
      </c>
    </row>
    <row r="11025" spans="1:4">
      <c r="A11025" t="s">
        <v>16004</v>
      </c>
      <c r="B11025">
        <v>19</v>
      </c>
      <c r="C11025" t="s">
        <v>16005</v>
      </c>
      <c r="D11025" t="s">
        <v>6168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16006</v>
      </c>
      <c r="B11027">
        <v>22750</v>
      </c>
      <c r="C11027" t="s">
        <v>16007</v>
      </c>
      <c r="D11027" t="s">
        <v>6168</v>
      </c>
    </row>
    <row r="11028" spans="1:4">
      <c r="A11028" t="s">
        <v>16008</v>
      </c>
      <c r="B11028">
        <v>22751</v>
      </c>
      <c r="C11028" t="s">
        <v>10999</v>
      </c>
      <c r="D11028" t="s">
        <v>6168</v>
      </c>
    </row>
    <row r="11029" spans="1:4">
      <c r="A11029" t="s">
        <v>16009</v>
      </c>
      <c r="B11029">
        <v>31163</v>
      </c>
      <c r="D11029" t="s">
        <v>6292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16010</v>
      </c>
      <c r="B11031">
        <v>39827</v>
      </c>
      <c r="C11031" t="s">
        <v>264</v>
      </c>
      <c r="D11031" t="s">
        <v>8049</v>
      </c>
    </row>
    <row r="11032" spans="1:4">
      <c r="A11032" t="s">
        <v>16011</v>
      </c>
      <c r="B11032">
        <v>23563</v>
      </c>
      <c r="D11032" t="s">
        <v>6314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16012</v>
      </c>
      <c r="B11034">
        <v>23946</v>
      </c>
      <c r="C11034" t="s">
        <v>6190</v>
      </c>
      <c r="D11034" t="s">
        <v>6168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16013</v>
      </c>
      <c r="B11036">
        <v>35643</v>
      </c>
      <c r="C11036" t="s">
        <v>7271</v>
      </c>
      <c r="D11036" t="s">
        <v>6168</v>
      </c>
    </row>
    <row r="11037" spans="1:4">
      <c r="A11037" t="s">
        <v>16014</v>
      </c>
      <c r="B11037">
        <v>42241</v>
      </c>
      <c r="C11037" t="s">
        <v>4950</v>
      </c>
      <c r="D11037" t="s">
        <v>6168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16015</v>
      </c>
      <c r="B11039">
        <v>24933</v>
      </c>
      <c r="C11039" t="s">
        <v>8741</v>
      </c>
      <c r="D11039" t="s">
        <v>6168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16016</v>
      </c>
      <c r="B11041">
        <v>30668</v>
      </c>
      <c r="C11041" t="s">
        <v>4950</v>
      </c>
      <c r="D11041" t="s">
        <v>6168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16017</v>
      </c>
      <c r="B11043">
        <v>4364</v>
      </c>
      <c r="C11043" t="s">
        <v>2781</v>
      </c>
      <c r="D11043" t="s">
        <v>6245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16018</v>
      </c>
      <c r="B11046">
        <v>40845</v>
      </c>
      <c r="C11046" t="s">
        <v>5796</v>
      </c>
      <c r="D11046" t="s">
        <v>6267</v>
      </c>
    </row>
    <row r="11047" spans="1:4">
      <c r="A11047" t="s">
        <v>16019</v>
      </c>
      <c r="B11047">
        <v>39720</v>
      </c>
      <c r="C11047" t="s">
        <v>5796</v>
      </c>
      <c r="D11047" t="s">
        <v>6314</v>
      </c>
    </row>
    <row r="11048" spans="1:4">
      <c r="A11048" t="s">
        <v>16020</v>
      </c>
      <c r="B11048">
        <v>23450</v>
      </c>
      <c r="C11048" t="s">
        <v>7059</v>
      </c>
      <c r="D11048" t="s">
        <v>6230</v>
      </c>
    </row>
    <row r="11049" spans="1:4">
      <c r="A11049" t="s">
        <v>16021</v>
      </c>
      <c r="B11049">
        <v>24894</v>
      </c>
      <c r="C11049" t="s">
        <v>2781</v>
      </c>
      <c r="D11049" t="s">
        <v>6267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16022</v>
      </c>
      <c r="B11051">
        <v>25376</v>
      </c>
      <c r="C11051" t="s">
        <v>8741</v>
      </c>
      <c r="D11051" t="s">
        <v>6168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16023</v>
      </c>
      <c r="B11054">
        <v>25264</v>
      </c>
      <c r="C11054" t="s">
        <v>16024</v>
      </c>
      <c r="D11054" t="s">
        <v>6168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16025</v>
      </c>
      <c r="B11056">
        <v>29605</v>
      </c>
      <c r="C11056" t="s">
        <v>16026</v>
      </c>
      <c r="D11056" t="s">
        <v>6168</v>
      </c>
    </row>
    <row r="11057" spans="1:4">
      <c r="A11057" t="s">
        <v>16027</v>
      </c>
      <c r="B11057">
        <v>23947</v>
      </c>
      <c r="C11057" t="s">
        <v>2781</v>
      </c>
      <c r="D11057" t="s">
        <v>6314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16028</v>
      </c>
      <c r="B11060">
        <v>29572</v>
      </c>
      <c r="C11060" t="s">
        <v>16029</v>
      </c>
      <c r="D11060" t="s">
        <v>6168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16030</v>
      </c>
      <c r="B11062">
        <v>36119</v>
      </c>
      <c r="C11062" t="s">
        <v>16031</v>
      </c>
      <c r="D11062" t="s">
        <v>6168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16032</v>
      </c>
      <c r="B11065">
        <v>809</v>
      </c>
      <c r="D11065" t="s">
        <v>6267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16033</v>
      </c>
      <c r="B11067">
        <v>42403</v>
      </c>
      <c r="C11067" t="s">
        <v>8220</v>
      </c>
      <c r="D11067" t="s">
        <v>6305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16034</v>
      </c>
      <c r="B11069">
        <v>818</v>
      </c>
      <c r="D11069" t="s">
        <v>6305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16035</v>
      </c>
      <c r="B11071">
        <v>29835</v>
      </c>
      <c r="C11071" t="s">
        <v>1576</v>
      </c>
      <c r="D11071" t="s">
        <v>6168</v>
      </c>
    </row>
    <row r="11072" spans="1:4">
      <c r="A11072" t="s">
        <v>16036</v>
      </c>
      <c r="B11072">
        <v>29838</v>
      </c>
      <c r="C11072" t="s">
        <v>16037</v>
      </c>
      <c r="D11072" t="s">
        <v>6168</v>
      </c>
    </row>
    <row r="11073" spans="1:4">
      <c r="A11073" t="s">
        <v>16038</v>
      </c>
      <c r="B11073">
        <v>29842</v>
      </c>
      <c r="C11073" t="s">
        <v>16039</v>
      </c>
      <c r="D11073" t="s">
        <v>6168</v>
      </c>
    </row>
    <row r="11074" spans="1:4">
      <c r="A11074" t="s">
        <v>16040</v>
      </c>
      <c r="B11074">
        <v>29841</v>
      </c>
      <c r="C11074" t="s">
        <v>1857</v>
      </c>
      <c r="D11074" t="s">
        <v>6168</v>
      </c>
    </row>
    <row r="11075" spans="1:4">
      <c r="A11075" t="s">
        <v>16041</v>
      </c>
      <c r="B11075">
        <v>29839</v>
      </c>
      <c r="C11075" t="s">
        <v>16042</v>
      </c>
      <c r="D11075" t="s">
        <v>6168</v>
      </c>
    </row>
    <row r="11076" spans="1:4">
      <c r="A11076" t="s">
        <v>16043</v>
      </c>
      <c r="B11076">
        <v>29840</v>
      </c>
      <c r="C11076" t="s">
        <v>16044</v>
      </c>
      <c r="D11076" t="s">
        <v>6168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16045</v>
      </c>
      <c r="B11078">
        <v>25529</v>
      </c>
      <c r="C11078" t="s">
        <v>894</v>
      </c>
      <c r="D11078" t="s">
        <v>6248</v>
      </c>
    </row>
    <row r="11079" spans="1:4">
      <c r="A11079" t="s">
        <v>16046</v>
      </c>
      <c r="B11079">
        <v>4589</v>
      </c>
      <c r="C11079" t="s">
        <v>6558</v>
      </c>
      <c r="D11079" t="s">
        <v>6168</v>
      </c>
    </row>
    <row r="11080" spans="1:4">
      <c r="A11080" t="s">
        <v>16047</v>
      </c>
      <c r="B11080">
        <v>4587</v>
      </c>
      <c r="C11080" t="s">
        <v>8360</v>
      </c>
      <c r="D11080" t="s">
        <v>6168</v>
      </c>
    </row>
    <row r="11081" spans="1:4">
      <c r="A11081" t="s">
        <v>16048</v>
      </c>
      <c r="B11081">
        <v>4588</v>
      </c>
      <c r="C11081" t="s">
        <v>15230</v>
      </c>
      <c r="D11081" t="s">
        <v>6168</v>
      </c>
    </row>
    <row r="11082" spans="1:4">
      <c r="A11082" t="s">
        <v>16049</v>
      </c>
      <c r="B11082">
        <v>4590</v>
      </c>
      <c r="D11082" t="s">
        <v>6168</v>
      </c>
    </row>
    <row r="11083" spans="1:4">
      <c r="A11083" t="s">
        <v>16050</v>
      </c>
      <c r="B11083">
        <v>4591</v>
      </c>
      <c r="C11083" t="s">
        <v>6914</v>
      </c>
      <c r="D11083" t="s">
        <v>6168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16051</v>
      </c>
      <c r="B11085">
        <v>20590</v>
      </c>
      <c r="C11085" t="s">
        <v>16052</v>
      </c>
      <c r="D11085" t="s">
        <v>6168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16053</v>
      </c>
      <c r="B11088">
        <v>19356</v>
      </c>
      <c r="C11088" t="s">
        <v>16054</v>
      </c>
      <c r="D11088" t="s">
        <v>6168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16055</v>
      </c>
      <c r="B11090">
        <v>22753</v>
      </c>
      <c r="C11090" t="s">
        <v>16056</v>
      </c>
      <c r="D11090" t="s">
        <v>6168</v>
      </c>
    </row>
    <row r="11091" spans="1:4">
      <c r="A11091" t="s">
        <v>16057</v>
      </c>
      <c r="B11091">
        <v>22754</v>
      </c>
      <c r="C11091" t="s">
        <v>16058</v>
      </c>
      <c r="D11091" t="s">
        <v>6168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16059</v>
      </c>
      <c r="B11093">
        <v>22756</v>
      </c>
      <c r="C11093" t="s">
        <v>6178</v>
      </c>
      <c r="D11093" t="s">
        <v>6168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16060</v>
      </c>
      <c r="B11095">
        <v>22758</v>
      </c>
      <c r="C11095" t="s">
        <v>16061</v>
      </c>
      <c r="D11095" t="s">
        <v>6168</v>
      </c>
    </row>
    <row r="11096" spans="1:4">
      <c r="A11096" t="s">
        <v>16062</v>
      </c>
      <c r="B11096">
        <v>26047</v>
      </c>
      <c r="C11096" t="s">
        <v>6184</v>
      </c>
      <c r="D11096" t="s">
        <v>6168</v>
      </c>
    </row>
    <row r="11097" spans="1:4">
      <c r="A11097" t="s">
        <v>16063</v>
      </c>
      <c r="B11097">
        <v>25037</v>
      </c>
      <c r="C11097" t="s">
        <v>6184</v>
      </c>
      <c r="D11097" t="s">
        <v>6168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16064</v>
      </c>
      <c r="B11099">
        <v>25022</v>
      </c>
      <c r="C11099" t="s">
        <v>6219</v>
      </c>
      <c r="D11099" t="s">
        <v>6168</v>
      </c>
    </row>
    <row r="11100" spans="1:4">
      <c r="A11100" t="s">
        <v>16065</v>
      </c>
      <c r="B11100">
        <v>25023</v>
      </c>
      <c r="C11100" t="s">
        <v>7145</v>
      </c>
      <c r="D11100" t="s">
        <v>6168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16066</v>
      </c>
      <c r="B11102">
        <v>24309</v>
      </c>
      <c r="C11102" t="s">
        <v>5715</v>
      </c>
      <c r="D11102" t="s">
        <v>6267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16067</v>
      </c>
      <c r="B11104">
        <v>22760</v>
      </c>
      <c r="C11104" t="s">
        <v>6201</v>
      </c>
      <c r="D11104" t="s">
        <v>6168</v>
      </c>
    </row>
    <row r="11105" spans="1:4">
      <c r="A11105" t="s">
        <v>16068</v>
      </c>
      <c r="B11105">
        <v>22761</v>
      </c>
      <c r="C11105" t="s">
        <v>16069</v>
      </c>
      <c r="D11105" t="s">
        <v>6168</v>
      </c>
    </row>
    <row r="11106" spans="1:4">
      <c r="A11106" t="s">
        <v>16070</v>
      </c>
      <c r="B11106">
        <v>22762</v>
      </c>
      <c r="C11106" t="s">
        <v>16071</v>
      </c>
      <c r="D11106" t="s">
        <v>6168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16072</v>
      </c>
      <c r="B11108">
        <v>25266</v>
      </c>
      <c r="C11108" t="s">
        <v>16073</v>
      </c>
      <c r="D11108" t="s">
        <v>6168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16074</v>
      </c>
      <c r="B11110">
        <v>24310</v>
      </c>
      <c r="C11110" t="s">
        <v>6190</v>
      </c>
      <c r="D11110" t="s">
        <v>6168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16075</v>
      </c>
      <c r="B11112">
        <v>23951</v>
      </c>
      <c r="C11112" t="s">
        <v>3726</v>
      </c>
      <c r="D11112" t="s">
        <v>6248</v>
      </c>
    </row>
    <row r="11113" spans="1:4">
      <c r="A11113" t="s">
        <v>16076</v>
      </c>
      <c r="B11113">
        <v>24312</v>
      </c>
      <c r="C11113" t="s">
        <v>16077</v>
      </c>
      <c r="D11113" t="s">
        <v>6168</v>
      </c>
    </row>
    <row r="11114" spans="1:4">
      <c r="A11114" t="s">
        <v>16078</v>
      </c>
      <c r="B11114">
        <v>39731</v>
      </c>
      <c r="C11114" t="s">
        <v>7029</v>
      </c>
      <c r="D11114" t="s">
        <v>6168</v>
      </c>
    </row>
    <row r="11115" spans="1:4">
      <c r="A11115" t="s">
        <v>16079</v>
      </c>
      <c r="B11115">
        <v>29184</v>
      </c>
      <c r="C11115" t="s">
        <v>13379</v>
      </c>
      <c r="D11115" t="s">
        <v>6168</v>
      </c>
    </row>
    <row r="11116" spans="1:4">
      <c r="A11116" t="s">
        <v>16080</v>
      </c>
      <c r="B11116">
        <v>40416</v>
      </c>
      <c r="C11116" t="s">
        <v>16081</v>
      </c>
      <c r="D11116" t="s">
        <v>6168</v>
      </c>
    </row>
    <row r="11117" spans="1:4">
      <c r="A11117" t="s">
        <v>16082</v>
      </c>
      <c r="B11117">
        <v>35312</v>
      </c>
      <c r="C11117" t="s">
        <v>16083</v>
      </c>
      <c r="D11117" t="s">
        <v>6168</v>
      </c>
    </row>
    <row r="11118" spans="1:4">
      <c r="A11118" t="s">
        <v>16084</v>
      </c>
      <c r="B11118">
        <v>24899</v>
      </c>
      <c r="C11118" t="s">
        <v>1079</v>
      </c>
      <c r="D11118" t="s">
        <v>6168</v>
      </c>
    </row>
    <row r="11119" spans="1:4">
      <c r="A11119" t="s">
        <v>16085</v>
      </c>
      <c r="B11119">
        <v>30245</v>
      </c>
      <c r="C11119" t="s">
        <v>2425</v>
      </c>
      <c r="D11119" t="s">
        <v>6168</v>
      </c>
    </row>
    <row r="11120" spans="1:4">
      <c r="A11120" t="s">
        <v>16086</v>
      </c>
      <c r="B11120">
        <v>24900</v>
      </c>
      <c r="C11120" t="s">
        <v>1273</v>
      </c>
      <c r="D11120" t="s">
        <v>6168</v>
      </c>
    </row>
    <row r="11121" spans="1:4">
      <c r="A11121" t="s">
        <v>16087</v>
      </c>
      <c r="B11121">
        <v>23949</v>
      </c>
      <c r="C11121" t="s">
        <v>7029</v>
      </c>
      <c r="D11121" t="s">
        <v>6168</v>
      </c>
    </row>
    <row r="11122" spans="1:4">
      <c r="A11122" t="s">
        <v>16088</v>
      </c>
      <c r="B11122">
        <v>21635</v>
      </c>
      <c r="C11122" t="s">
        <v>15636</v>
      </c>
      <c r="D11122" t="s">
        <v>6168</v>
      </c>
    </row>
    <row r="11123" spans="1:4">
      <c r="A11123" t="s">
        <v>16089</v>
      </c>
      <c r="B11123">
        <v>23950</v>
      </c>
      <c r="C11123" t="s">
        <v>1273</v>
      </c>
      <c r="D11123" t="s">
        <v>6168</v>
      </c>
    </row>
    <row r="11124" spans="1:4">
      <c r="A11124" t="s">
        <v>16090</v>
      </c>
      <c r="B11124">
        <v>30244</v>
      </c>
      <c r="C11124" t="s">
        <v>2425</v>
      </c>
      <c r="D11124" t="s">
        <v>6168</v>
      </c>
    </row>
    <row r="11125" spans="1:4">
      <c r="A11125" t="s">
        <v>16091</v>
      </c>
      <c r="B11125">
        <v>23952</v>
      </c>
      <c r="C11125" t="s">
        <v>1079</v>
      </c>
      <c r="D11125" t="s">
        <v>6168</v>
      </c>
    </row>
    <row r="11126" spans="1:4">
      <c r="A11126" t="s">
        <v>16092</v>
      </c>
      <c r="B11126">
        <v>25024</v>
      </c>
      <c r="C11126" t="s">
        <v>16077</v>
      </c>
      <c r="D11126" t="s">
        <v>6168</v>
      </c>
    </row>
    <row r="11127" spans="1:4">
      <c r="A11127" t="s">
        <v>16093</v>
      </c>
      <c r="B11127">
        <v>26045</v>
      </c>
      <c r="C11127" t="s">
        <v>16083</v>
      </c>
      <c r="D11127" t="s">
        <v>6168</v>
      </c>
    </row>
    <row r="11128" spans="1:4">
      <c r="A11128" t="s">
        <v>16094</v>
      </c>
      <c r="B11128">
        <v>23953</v>
      </c>
      <c r="C11128" t="s">
        <v>3487</v>
      </c>
      <c r="D11128" t="s">
        <v>6168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16095</v>
      </c>
      <c r="B11130">
        <v>43052</v>
      </c>
      <c r="C11130" t="s">
        <v>16096</v>
      </c>
      <c r="D11130" t="s">
        <v>6168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16097</v>
      </c>
      <c r="B11132">
        <v>22764</v>
      </c>
      <c r="D11132" t="s">
        <v>6267</v>
      </c>
    </row>
    <row r="11133" spans="1:4">
      <c r="A11133" t="s">
        <v>16098</v>
      </c>
      <c r="B11133">
        <v>22765</v>
      </c>
      <c r="C11133" t="s">
        <v>16099</v>
      </c>
      <c r="D11133" t="s">
        <v>6314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16100</v>
      </c>
      <c r="B11137">
        <v>39811</v>
      </c>
      <c r="C11137" t="s">
        <v>8084</v>
      </c>
      <c r="D11137" t="s">
        <v>6292</v>
      </c>
    </row>
    <row r="11138" spans="1:4">
      <c r="A11138" t="s">
        <v>16101</v>
      </c>
      <c r="B11138">
        <v>4552</v>
      </c>
      <c r="C11138" t="s">
        <v>16102</v>
      </c>
      <c r="D11138" t="s">
        <v>6245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16103</v>
      </c>
      <c r="B11140">
        <v>3779</v>
      </c>
      <c r="C11140" t="s">
        <v>16104</v>
      </c>
      <c r="D11140" t="s">
        <v>6168</v>
      </c>
    </row>
    <row r="11141" spans="1:4">
      <c r="A11141" t="s">
        <v>16105</v>
      </c>
      <c r="B11141">
        <v>3780</v>
      </c>
      <c r="C11141" t="s">
        <v>16106</v>
      </c>
      <c r="D11141" t="s">
        <v>6168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16107</v>
      </c>
      <c r="B11144">
        <v>22767</v>
      </c>
      <c r="C11144" t="s">
        <v>16108</v>
      </c>
      <c r="D11144" t="s">
        <v>6168</v>
      </c>
    </row>
    <row r="11145" spans="1:4">
      <c r="A11145" t="s">
        <v>16745</v>
      </c>
      <c r="B11145">
        <v>43320</v>
      </c>
      <c r="C11145" t="s">
        <v>16746</v>
      </c>
      <c r="D11145" t="s">
        <v>123</v>
      </c>
    </row>
    <row r="11146" spans="1:4">
      <c r="A11146" t="s">
        <v>16795</v>
      </c>
      <c r="B11146">
        <v>43352</v>
      </c>
      <c r="C11146" t="s">
        <v>16796</v>
      </c>
      <c r="D11146" t="s">
        <v>6168</v>
      </c>
    </row>
    <row r="11147" spans="1:4">
      <c r="A11147" t="s">
        <v>17134</v>
      </c>
      <c r="B11147">
        <v>44392</v>
      </c>
      <c r="C11147" t="s">
        <v>17135</v>
      </c>
      <c r="D11147" t="s">
        <v>123</v>
      </c>
    </row>
    <row r="11148" spans="1:4">
      <c r="A11148" t="s">
        <v>17167</v>
      </c>
      <c r="B11148">
        <v>44466</v>
      </c>
      <c r="C11148" t="s">
        <v>17168</v>
      </c>
      <c r="D11148" t="s">
        <v>6168</v>
      </c>
    </row>
    <row r="11149" spans="1:4">
      <c r="A11149" t="s">
        <v>16109</v>
      </c>
      <c r="B11149">
        <v>4536</v>
      </c>
      <c r="C11149" t="s">
        <v>1111</v>
      </c>
      <c r="D11149" t="s">
        <v>6605</v>
      </c>
    </row>
    <row r="11150" spans="1:4">
      <c r="A11150" t="s">
        <v>16723</v>
      </c>
      <c r="B11150">
        <v>43308</v>
      </c>
      <c r="C11150" t="s">
        <v>16724</v>
      </c>
      <c r="D11150" t="s">
        <v>134</v>
      </c>
    </row>
    <row r="11151" spans="1:4">
      <c r="A11151" t="s">
        <v>16727</v>
      </c>
      <c r="B11151">
        <v>43310</v>
      </c>
      <c r="C11151" t="s">
        <v>16728</v>
      </c>
      <c r="D11151" t="s">
        <v>123</v>
      </c>
    </row>
    <row r="11152" spans="1:4">
      <c r="A11152" t="s">
        <v>16780</v>
      </c>
      <c r="B11152">
        <v>43342</v>
      </c>
      <c r="C11152" t="s">
        <v>16777</v>
      </c>
      <c r="D11152" t="s">
        <v>6168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16110</v>
      </c>
      <c r="B11154">
        <v>24901</v>
      </c>
      <c r="C11154" t="s">
        <v>16111</v>
      </c>
      <c r="D11154" t="s">
        <v>6168</v>
      </c>
    </row>
    <row r="11155" spans="1:4">
      <c r="A11155" t="s">
        <v>16112</v>
      </c>
      <c r="B11155">
        <v>35271</v>
      </c>
      <c r="C11155" t="s">
        <v>2374</v>
      </c>
      <c r="D11155" t="s">
        <v>6168</v>
      </c>
    </row>
    <row r="11156" spans="1:4">
      <c r="A11156" t="s">
        <v>16113</v>
      </c>
      <c r="B11156">
        <v>23247</v>
      </c>
      <c r="C11156" t="s">
        <v>15726</v>
      </c>
      <c r="D11156" t="s">
        <v>6245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16114</v>
      </c>
      <c r="B11159">
        <v>24902</v>
      </c>
      <c r="C11159" t="s">
        <v>16115</v>
      </c>
      <c r="D11159" t="s">
        <v>6168</v>
      </c>
    </row>
    <row r="11160" spans="1:4">
      <c r="A11160" t="s">
        <v>16116</v>
      </c>
      <c r="B11160">
        <v>39500</v>
      </c>
      <c r="C11160" t="s">
        <v>626</v>
      </c>
      <c r="D11160" t="s">
        <v>6267</v>
      </c>
    </row>
    <row r="11161" spans="1:4">
      <c r="A11161" t="s">
        <v>16117</v>
      </c>
      <c r="B11161">
        <v>43070</v>
      </c>
      <c r="D11161" t="s">
        <v>6305</v>
      </c>
    </row>
    <row r="11162" spans="1:4">
      <c r="A11162" t="s">
        <v>16118</v>
      </c>
      <c r="B11162">
        <v>39482</v>
      </c>
      <c r="C11162" t="s">
        <v>16119</v>
      </c>
      <c r="D11162" t="s">
        <v>6230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17169</v>
      </c>
      <c r="B11164">
        <v>44467</v>
      </c>
      <c r="C11164" t="s">
        <v>8093</v>
      </c>
      <c r="D11164" t="s">
        <v>6168</v>
      </c>
    </row>
    <row r="11165" spans="1:4">
      <c r="A11165" t="s">
        <v>16120</v>
      </c>
      <c r="B11165">
        <v>22769</v>
      </c>
      <c r="C11165" t="s">
        <v>6178</v>
      </c>
      <c r="D11165" t="s">
        <v>6168</v>
      </c>
    </row>
    <row r="11166" spans="1:4">
      <c r="A11166" t="s">
        <v>16121</v>
      </c>
      <c r="B11166">
        <v>24903</v>
      </c>
      <c r="C11166" t="s">
        <v>3649</v>
      </c>
      <c r="D11166" t="s">
        <v>6168</v>
      </c>
    </row>
    <row r="11167" spans="1:4">
      <c r="A11167" t="s">
        <v>16122</v>
      </c>
      <c r="B11167">
        <v>42822</v>
      </c>
      <c r="C11167" t="s">
        <v>16123</v>
      </c>
      <c r="D11167" t="s">
        <v>6168</v>
      </c>
    </row>
    <row r="11168" spans="1:4">
      <c r="A11168" t="s">
        <v>16124</v>
      </c>
      <c r="B11168">
        <v>27385</v>
      </c>
      <c r="C11168" t="s">
        <v>16125</v>
      </c>
      <c r="D11168" t="s">
        <v>6168</v>
      </c>
    </row>
    <row r="11169" spans="1:4">
      <c r="A11169" t="s">
        <v>16126</v>
      </c>
      <c r="B11169">
        <v>22770</v>
      </c>
      <c r="C11169" t="s">
        <v>16127</v>
      </c>
      <c r="D11169" t="s">
        <v>6168</v>
      </c>
    </row>
    <row r="11170" spans="1:4">
      <c r="A11170" t="s">
        <v>16128</v>
      </c>
      <c r="B11170">
        <v>22771</v>
      </c>
      <c r="C11170" t="s">
        <v>10999</v>
      </c>
      <c r="D11170" t="s">
        <v>6168</v>
      </c>
    </row>
    <row r="11171" spans="1:4">
      <c r="A11171" t="s">
        <v>17192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16129</v>
      </c>
      <c r="B11175">
        <v>29587</v>
      </c>
      <c r="C11175" t="s">
        <v>6424</v>
      </c>
      <c r="D11175" t="s">
        <v>6168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16130</v>
      </c>
      <c r="B11177">
        <v>22773</v>
      </c>
      <c r="C11177" t="s">
        <v>407</v>
      </c>
      <c r="D11177" t="s">
        <v>6168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16131</v>
      </c>
      <c r="B11179">
        <v>26046</v>
      </c>
      <c r="C11179" t="s">
        <v>8434</v>
      </c>
      <c r="D11179" t="s">
        <v>6168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16132</v>
      </c>
      <c r="B11182">
        <v>29744</v>
      </c>
      <c r="C11182" t="s">
        <v>6546</v>
      </c>
      <c r="D11182" t="s">
        <v>6168</v>
      </c>
    </row>
    <row r="11183" spans="1:4">
      <c r="A11183" t="s">
        <v>16133</v>
      </c>
      <c r="B11183">
        <v>38782</v>
      </c>
      <c r="C11183" t="s">
        <v>16134</v>
      </c>
      <c r="D11183" t="s">
        <v>6168</v>
      </c>
    </row>
    <row r="11184" spans="1:4">
      <c r="A11184" t="s">
        <v>16135</v>
      </c>
      <c r="B11184">
        <v>40415</v>
      </c>
      <c r="C11184" t="s">
        <v>7781</v>
      </c>
      <c r="D11184" t="s">
        <v>6245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16136</v>
      </c>
      <c r="B11188">
        <v>38841</v>
      </c>
      <c r="C11188" t="s">
        <v>6934</v>
      </c>
      <c r="D11188" t="s">
        <v>6168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16137</v>
      </c>
      <c r="B11190">
        <v>39588</v>
      </c>
      <c r="C11190" t="s">
        <v>16138</v>
      </c>
      <c r="D11190" t="s">
        <v>6314</v>
      </c>
    </row>
    <row r="11191" spans="1:4">
      <c r="A11191" t="s">
        <v>16139</v>
      </c>
      <c r="B11191">
        <v>40414</v>
      </c>
      <c r="C11191" t="s">
        <v>16140</v>
      </c>
      <c r="D11191" t="s">
        <v>6245</v>
      </c>
    </row>
    <row r="11192" spans="1:4">
      <c r="A11192" t="s">
        <v>16141</v>
      </c>
      <c r="B11192">
        <v>24369</v>
      </c>
      <c r="C11192" t="s">
        <v>7426</v>
      </c>
      <c r="D11192" t="s">
        <v>6241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16142</v>
      </c>
      <c r="B11194">
        <v>29172</v>
      </c>
      <c r="C11194" t="s">
        <v>9878</v>
      </c>
      <c r="D11194" t="s">
        <v>6168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16143</v>
      </c>
      <c r="B11196">
        <v>38271</v>
      </c>
      <c r="C11196" t="s">
        <v>16144</v>
      </c>
      <c r="D11196" t="s">
        <v>6245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16145</v>
      </c>
      <c r="B11198">
        <v>22775</v>
      </c>
      <c r="C11198" t="s">
        <v>6330</v>
      </c>
      <c r="D11198" t="s">
        <v>6168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16146</v>
      </c>
      <c r="B11200">
        <v>31469</v>
      </c>
      <c r="C11200" t="s">
        <v>3297</v>
      </c>
      <c r="D11200" t="s">
        <v>6168</v>
      </c>
    </row>
    <row r="11201" spans="1:4">
      <c r="A11201" t="s">
        <v>16147</v>
      </c>
      <c r="B11201">
        <v>31470</v>
      </c>
      <c r="C11201" t="s">
        <v>6546</v>
      </c>
      <c r="D11201" t="s">
        <v>6168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16148</v>
      </c>
      <c r="B11203">
        <v>40844</v>
      </c>
      <c r="C11203" t="s">
        <v>16149</v>
      </c>
      <c r="D11203" t="s">
        <v>6267</v>
      </c>
    </row>
    <row r="11204" spans="1:4">
      <c r="A11204" t="s">
        <v>16150</v>
      </c>
      <c r="B11204">
        <v>23049</v>
      </c>
      <c r="C11204" t="s">
        <v>9647</v>
      </c>
      <c r="D11204" t="s">
        <v>6292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16151</v>
      </c>
      <c r="B11208">
        <v>39630</v>
      </c>
      <c r="C11208" t="s">
        <v>16152</v>
      </c>
      <c r="D11208" t="s">
        <v>6267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16153</v>
      </c>
      <c r="B11210">
        <v>39690</v>
      </c>
      <c r="C11210" t="s">
        <v>8104</v>
      </c>
      <c r="D11210" t="s">
        <v>6168</v>
      </c>
    </row>
    <row r="11211" spans="1:4">
      <c r="A11211" t="s">
        <v>16154</v>
      </c>
      <c r="B11211">
        <v>24904</v>
      </c>
      <c r="C11211" t="s">
        <v>7218</v>
      </c>
      <c r="D11211" t="s">
        <v>6168</v>
      </c>
    </row>
    <row r="11212" spans="1:4">
      <c r="A11212" t="s">
        <v>16155</v>
      </c>
      <c r="B11212">
        <v>43570</v>
      </c>
      <c r="C11212" t="s">
        <v>16156</v>
      </c>
      <c r="D11212" t="s">
        <v>6168</v>
      </c>
    </row>
    <row r="11213" spans="1:4">
      <c r="A11213" t="s">
        <v>16157</v>
      </c>
      <c r="B11213">
        <v>29171</v>
      </c>
      <c r="C11213" t="s">
        <v>6596</v>
      </c>
      <c r="D11213" t="s">
        <v>6168</v>
      </c>
    </row>
    <row r="11214" spans="1:4">
      <c r="A11214" t="s">
        <v>17539</v>
      </c>
      <c r="B11214">
        <v>45960</v>
      </c>
      <c r="C11214" t="s">
        <v>16156</v>
      </c>
      <c r="D11214" t="s">
        <v>6168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16158</v>
      </c>
      <c r="B11218">
        <v>38924</v>
      </c>
      <c r="C11218" t="s">
        <v>16159</v>
      </c>
      <c r="D11218" t="s">
        <v>6168</v>
      </c>
    </row>
    <row r="11219" spans="1:4">
      <c r="A11219" t="s">
        <v>16160</v>
      </c>
      <c r="B11219">
        <v>27352</v>
      </c>
      <c r="D11219" t="s">
        <v>6245</v>
      </c>
    </row>
    <row r="11220" spans="1:4">
      <c r="A11220" t="s">
        <v>16161</v>
      </c>
      <c r="B11220">
        <v>4603</v>
      </c>
      <c r="C11220" t="s">
        <v>1383</v>
      </c>
      <c r="D11220" t="s">
        <v>6245</v>
      </c>
    </row>
    <row r="11221" spans="1:4">
      <c r="A11221" t="s">
        <v>16162</v>
      </c>
      <c r="B11221">
        <v>23125</v>
      </c>
      <c r="C11221" t="s">
        <v>16163</v>
      </c>
      <c r="D11221" t="s">
        <v>6241</v>
      </c>
    </row>
    <row r="11222" spans="1:4">
      <c r="A11222" t="s">
        <v>16164</v>
      </c>
      <c r="B11222">
        <v>39501</v>
      </c>
      <c r="C11222" t="s">
        <v>3146</v>
      </c>
      <c r="D11222" t="s">
        <v>6267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16165</v>
      </c>
      <c r="B11224">
        <v>23956</v>
      </c>
      <c r="C11224" t="s">
        <v>8005</v>
      </c>
      <c r="D11224" t="s">
        <v>6168</v>
      </c>
    </row>
    <row r="11225" spans="1:4">
      <c r="A11225" t="s">
        <v>16166</v>
      </c>
      <c r="B11225">
        <v>23957</v>
      </c>
      <c r="C11225" t="s">
        <v>6719</v>
      </c>
      <c r="D11225" t="s">
        <v>6168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16167</v>
      </c>
      <c r="B11227">
        <v>4301</v>
      </c>
      <c r="C11227" t="s">
        <v>16168</v>
      </c>
      <c r="D11227" t="s">
        <v>6168</v>
      </c>
    </row>
    <row r="11228" spans="1:4">
      <c r="A11228" t="s">
        <v>16169</v>
      </c>
      <c r="B11228">
        <v>35402</v>
      </c>
      <c r="C11228" t="s">
        <v>7316</v>
      </c>
      <c r="D11228" t="s">
        <v>6292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16170</v>
      </c>
      <c r="B11230">
        <v>968</v>
      </c>
      <c r="C11230" t="s">
        <v>4950</v>
      </c>
      <c r="D11230" t="s">
        <v>6168</v>
      </c>
    </row>
    <row r="11231" spans="1:4">
      <c r="A11231" t="s">
        <v>16171</v>
      </c>
      <c r="B11231">
        <v>20548</v>
      </c>
      <c r="D11231" t="s">
        <v>6305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16172</v>
      </c>
      <c r="B11233">
        <v>22777</v>
      </c>
      <c r="D11233" t="s">
        <v>6168</v>
      </c>
    </row>
    <row r="11234" spans="1:4">
      <c r="A11234" t="s">
        <v>16173</v>
      </c>
      <c r="B11234">
        <v>22778</v>
      </c>
      <c r="C11234" t="s">
        <v>12404</v>
      </c>
      <c r="D11234" t="s">
        <v>6168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16174</v>
      </c>
      <c r="B11236">
        <v>3143</v>
      </c>
      <c r="C11236" t="s">
        <v>6535</v>
      </c>
      <c r="D11236" t="s">
        <v>6168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16175</v>
      </c>
      <c r="B11238">
        <v>4029</v>
      </c>
      <c r="C11238" t="s">
        <v>6523</v>
      </c>
      <c r="D11238" t="s">
        <v>6168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16176</v>
      </c>
      <c r="B11240">
        <v>32527</v>
      </c>
      <c r="C11240" t="s">
        <v>4950</v>
      </c>
      <c r="D11240" t="s">
        <v>6168</v>
      </c>
    </row>
    <row r="11241" spans="1:4">
      <c r="A11241" t="s">
        <v>16177</v>
      </c>
      <c r="B11241">
        <v>32514</v>
      </c>
      <c r="C11241" t="s">
        <v>6535</v>
      </c>
      <c r="D11241" t="s">
        <v>6168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16178</v>
      </c>
      <c r="B11248">
        <v>39600</v>
      </c>
      <c r="C11248" t="s">
        <v>1073</v>
      </c>
      <c r="D11248" t="s">
        <v>6267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16179</v>
      </c>
      <c r="B11250">
        <v>22780</v>
      </c>
      <c r="C11250" t="s">
        <v>16180</v>
      </c>
      <c r="D11250" t="s">
        <v>6168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16181</v>
      </c>
      <c r="B11252">
        <v>3651</v>
      </c>
      <c r="C11252" t="s">
        <v>3899</v>
      </c>
      <c r="D11252" t="s">
        <v>6243</v>
      </c>
    </row>
    <row r="11253" spans="1:4">
      <c r="A11253" t="s">
        <v>16182</v>
      </c>
      <c r="B11253">
        <v>24371</v>
      </c>
      <c r="C11253" t="s">
        <v>5692</v>
      </c>
      <c r="D11253" t="s">
        <v>10888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16183</v>
      </c>
      <c r="B11255">
        <v>3867</v>
      </c>
      <c r="C11255" t="s">
        <v>15520</v>
      </c>
      <c r="D11255" t="s">
        <v>6168</v>
      </c>
    </row>
    <row r="11256" spans="1:4">
      <c r="A11256" t="s">
        <v>16184</v>
      </c>
      <c r="B11256">
        <v>3868</v>
      </c>
      <c r="C11256" t="s">
        <v>16185</v>
      </c>
      <c r="D11256" t="s">
        <v>6168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16186</v>
      </c>
      <c r="B11259">
        <v>35313</v>
      </c>
      <c r="C11259" t="s">
        <v>16187</v>
      </c>
      <c r="D11259" t="s">
        <v>6168</v>
      </c>
    </row>
    <row r="11260" spans="1:4">
      <c r="A11260" t="s">
        <v>16188</v>
      </c>
      <c r="B11260">
        <v>39732</v>
      </c>
      <c r="C11260" t="s">
        <v>16189</v>
      </c>
      <c r="D11260" t="s">
        <v>6168</v>
      </c>
    </row>
    <row r="11261" spans="1:4">
      <c r="A11261" t="s">
        <v>16190</v>
      </c>
      <c r="B11261">
        <v>30240</v>
      </c>
      <c r="C11261" t="s">
        <v>16191</v>
      </c>
      <c r="D11261" t="s">
        <v>6168</v>
      </c>
    </row>
    <row r="11262" spans="1:4">
      <c r="A11262" t="s">
        <v>16192</v>
      </c>
      <c r="B11262">
        <v>26042</v>
      </c>
      <c r="C11262" t="s">
        <v>6194</v>
      </c>
      <c r="D11262" t="s">
        <v>6168</v>
      </c>
    </row>
    <row r="11263" spans="1:4">
      <c r="A11263" t="s">
        <v>16193</v>
      </c>
      <c r="B11263">
        <v>25268</v>
      </c>
      <c r="C11263" t="s">
        <v>7336</v>
      </c>
      <c r="D11263" t="s">
        <v>6168</v>
      </c>
    </row>
    <row r="11264" spans="1:4">
      <c r="A11264" t="s">
        <v>16194</v>
      </c>
      <c r="B11264">
        <v>33926</v>
      </c>
      <c r="C11264" t="s">
        <v>6924</v>
      </c>
      <c r="D11264" t="s">
        <v>6168</v>
      </c>
    </row>
    <row r="11265" spans="1:4">
      <c r="A11265" t="s">
        <v>16195</v>
      </c>
      <c r="B11265">
        <v>26041</v>
      </c>
      <c r="C11265" t="s">
        <v>8528</v>
      </c>
      <c r="D11265" t="s">
        <v>6168</v>
      </c>
    </row>
    <row r="11266" spans="1:4">
      <c r="A11266" t="s">
        <v>16196</v>
      </c>
      <c r="B11266">
        <v>26040</v>
      </c>
      <c r="C11266" t="s">
        <v>16197</v>
      </c>
      <c r="D11266" t="s">
        <v>6168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16198</v>
      </c>
      <c r="B11268">
        <v>23958</v>
      </c>
      <c r="C11268" t="s">
        <v>16199</v>
      </c>
      <c r="D11268" t="s">
        <v>6314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16200</v>
      </c>
      <c r="B11271">
        <v>477</v>
      </c>
      <c r="C11271" t="s">
        <v>936</v>
      </c>
      <c r="D11271" t="s">
        <v>6168</v>
      </c>
    </row>
    <row r="11272" spans="1:4">
      <c r="A11272" t="s">
        <v>17106</v>
      </c>
      <c r="B11272">
        <v>44355</v>
      </c>
      <c r="C11272" t="s">
        <v>16809</v>
      </c>
      <c r="D11272" t="s">
        <v>6168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16201</v>
      </c>
      <c r="B11274">
        <v>302</v>
      </c>
      <c r="C11274" t="s">
        <v>1428</v>
      </c>
      <c r="D11274" t="s">
        <v>6168</v>
      </c>
    </row>
    <row r="11275" spans="1:4">
      <c r="A11275" t="s">
        <v>16202</v>
      </c>
      <c r="B11275">
        <v>303</v>
      </c>
      <c r="C11275" t="s">
        <v>16203</v>
      </c>
      <c r="D11275" t="s">
        <v>6168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16204</v>
      </c>
      <c r="B11279">
        <v>35314</v>
      </c>
      <c r="C11279" t="s">
        <v>6879</v>
      </c>
      <c r="D11279" t="s">
        <v>6168</v>
      </c>
    </row>
    <row r="11280" spans="1:4">
      <c r="A11280" t="s">
        <v>16205</v>
      </c>
      <c r="B11280">
        <v>24317</v>
      </c>
      <c r="C11280" t="s">
        <v>6194</v>
      </c>
      <c r="D11280" t="s">
        <v>6168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16206</v>
      </c>
      <c r="B11282">
        <v>39786</v>
      </c>
      <c r="C11282" t="s">
        <v>16207</v>
      </c>
      <c r="D11282" t="s">
        <v>6314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16208</v>
      </c>
      <c r="B11284">
        <v>30844</v>
      </c>
      <c r="C11284" t="s">
        <v>4396</v>
      </c>
      <c r="D11284" t="s">
        <v>6168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16209</v>
      </c>
      <c r="B11287">
        <v>25025</v>
      </c>
      <c r="C11287" t="s">
        <v>6689</v>
      </c>
      <c r="D11287" t="s">
        <v>6168</v>
      </c>
    </row>
    <row r="11288" spans="1:4">
      <c r="A11288" t="s">
        <v>16210</v>
      </c>
      <c r="B11288">
        <v>42367</v>
      </c>
      <c r="C11288" t="s">
        <v>6506</v>
      </c>
      <c r="D11288" t="s">
        <v>6168</v>
      </c>
    </row>
    <row r="11289" spans="1:4">
      <c r="A11289" t="s">
        <v>16211</v>
      </c>
      <c r="B11289">
        <v>38766</v>
      </c>
      <c r="C11289" t="s">
        <v>16212</v>
      </c>
      <c r="D11289" t="s">
        <v>6168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16213</v>
      </c>
      <c r="B11291">
        <v>30656</v>
      </c>
      <c r="C11291" t="s">
        <v>16214</v>
      </c>
      <c r="D11291" t="s">
        <v>6168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16215</v>
      </c>
      <c r="B11293">
        <v>4066</v>
      </c>
      <c r="C11293" t="s">
        <v>16216</v>
      </c>
      <c r="D11293" t="s">
        <v>6168</v>
      </c>
    </row>
    <row r="11294" spans="1:4">
      <c r="A11294" t="s">
        <v>16217</v>
      </c>
      <c r="B11294">
        <v>4067</v>
      </c>
      <c r="C11294" t="s">
        <v>16218</v>
      </c>
      <c r="D11294" t="s">
        <v>6168</v>
      </c>
    </row>
    <row r="11295" spans="1:4">
      <c r="A11295" t="s">
        <v>16219</v>
      </c>
      <c r="B11295">
        <v>30725</v>
      </c>
      <c r="C11295" t="s">
        <v>16218</v>
      </c>
      <c r="D11295" t="s">
        <v>6168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16220</v>
      </c>
      <c r="B11299">
        <v>4493</v>
      </c>
      <c r="C11299" t="s">
        <v>6554</v>
      </c>
      <c r="D11299" t="s">
        <v>6168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16221</v>
      </c>
      <c r="B11301">
        <v>30664</v>
      </c>
      <c r="C11301" t="s">
        <v>7741</v>
      </c>
      <c r="D11301" t="s">
        <v>6168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16222</v>
      </c>
      <c r="B11303">
        <v>43572</v>
      </c>
      <c r="C11303" t="s">
        <v>6409</v>
      </c>
      <c r="D11303" t="s">
        <v>6168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16223</v>
      </c>
      <c r="B11306">
        <v>31457</v>
      </c>
      <c r="D11306" t="s">
        <v>6168</v>
      </c>
    </row>
    <row r="11307" spans="1:4">
      <c r="A11307" t="s">
        <v>16224</v>
      </c>
      <c r="B11307">
        <v>40413</v>
      </c>
      <c r="C11307" t="s">
        <v>4950</v>
      </c>
      <c r="D11307" t="s">
        <v>6168</v>
      </c>
    </row>
    <row r="11308" spans="1:4">
      <c r="A11308" t="s">
        <v>16225</v>
      </c>
      <c r="B11308">
        <v>23960</v>
      </c>
      <c r="C11308" t="s">
        <v>6914</v>
      </c>
      <c r="D11308" t="s">
        <v>6168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16226</v>
      </c>
      <c r="B11310">
        <v>22782</v>
      </c>
      <c r="C11310" t="s">
        <v>13943</v>
      </c>
      <c r="D11310" t="s">
        <v>6168</v>
      </c>
    </row>
    <row r="11311" spans="1:4">
      <c r="A11311" t="s">
        <v>16227</v>
      </c>
      <c r="B11311">
        <v>32516</v>
      </c>
      <c r="C11311" t="s">
        <v>13291</v>
      </c>
      <c r="D11311" t="s">
        <v>6168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16228</v>
      </c>
      <c r="B11313">
        <v>2321</v>
      </c>
      <c r="C11313" t="s">
        <v>1475</v>
      </c>
      <c r="D11313" t="s">
        <v>6168</v>
      </c>
    </row>
    <row r="11314" spans="1:4">
      <c r="A11314" t="s">
        <v>16229</v>
      </c>
      <c r="B11314">
        <v>2322</v>
      </c>
      <c r="C11314" t="s">
        <v>2103</v>
      </c>
      <c r="D11314" t="s">
        <v>6168</v>
      </c>
    </row>
    <row r="11315" spans="1:4">
      <c r="A11315" t="s">
        <v>16230</v>
      </c>
      <c r="B11315">
        <v>2323</v>
      </c>
      <c r="C11315" t="s">
        <v>1475</v>
      </c>
      <c r="D11315" t="s">
        <v>6168</v>
      </c>
    </row>
    <row r="11316" spans="1:4">
      <c r="A11316" t="s">
        <v>16231</v>
      </c>
      <c r="B11316">
        <v>2324</v>
      </c>
      <c r="C11316" t="s">
        <v>6399</v>
      </c>
      <c r="D11316" t="s">
        <v>6168</v>
      </c>
    </row>
    <row r="11317" spans="1:4">
      <c r="A11317" t="s">
        <v>16232</v>
      </c>
      <c r="B11317">
        <v>2325</v>
      </c>
      <c r="C11317" t="s">
        <v>6473</v>
      </c>
      <c r="D11317" t="s">
        <v>6168</v>
      </c>
    </row>
    <row r="11318" spans="1:4">
      <c r="A11318" t="s">
        <v>16233</v>
      </c>
      <c r="B11318">
        <v>2326</v>
      </c>
      <c r="C11318" t="s">
        <v>1820</v>
      </c>
      <c r="D11318" t="s">
        <v>6168</v>
      </c>
    </row>
    <row r="11319" spans="1:4">
      <c r="A11319" t="s">
        <v>16234</v>
      </c>
      <c r="B11319">
        <v>2327</v>
      </c>
      <c r="C11319" t="s">
        <v>16235</v>
      </c>
      <c r="D11319" t="s">
        <v>6168</v>
      </c>
    </row>
    <row r="11320" spans="1:4">
      <c r="A11320" t="s">
        <v>16236</v>
      </c>
      <c r="B11320">
        <v>2328</v>
      </c>
      <c r="C11320" t="s">
        <v>4950</v>
      </c>
      <c r="D11320" t="s">
        <v>6168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16237</v>
      </c>
      <c r="B11323">
        <v>20549</v>
      </c>
      <c r="D11323" t="s">
        <v>6314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16238</v>
      </c>
      <c r="B11325">
        <v>22784</v>
      </c>
      <c r="C11325" t="s">
        <v>7145</v>
      </c>
      <c r="D11325" t="s">
        <v>6168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16239</v>
      </c>
      <c r="B11327">
        <v>29170</v>
      </c>
      <c r="C11327" t="s">
        <v>8005</v>
      </c>
      <c r="D11327" t="s">
        <v>6168</v>
      </c>
    </row>
    <row r="11328" spans="1:4">
      <c r="A11328" t="s">
        <v>16240</v>
      </c>
      <c r="B11328">
        <v>31267</v>
      </c>
      <c r="C11328" t="s">
        <v>16241</v>
      </c>
      <c r="D11328" t="s">
        <v>6168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16242</v>
      </c>
      <c r="B11334">
        <v>39711</v>
      </c>
      <c r="C11334" t="s">
        <v>10446</v>
      </c>
      <c r="D11334" t="s">
        <v>6248</v>
      </c>
    </row>
    <row r="11335" spans="1:4">
      <c r="A11335" t="s">
        <v>16243</v>
      </c>
      <c r="B11335">
        <v>30736</v>
      </c>
      <c r="C11335" t="s">
        <v>16244</v>
      </c>
      <c r="D11335" t="s">
        <v>6168</v>
      </c>
    </row>
    <row r="11336" spans="1:4">
      <c r="A11336" t="s">
        <v>16245</v>
      </c>
      <c r="B11336">
        <v>4283</v>
      </c>
      <c r="C11336" t="s">
        <v>16246</v>
      </c>
      <c r="D11336" t="s">
        <v>6168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16247</v>
      </c>
      <c r="B11338">
        <v>31265</v>
      </c>
      <c r="C11338" t="s">
        <v>15610</v>
      </c>
      <c r="D11338" t="s">
        <v>6168</v>
      </c>
    </row>
    <row r="11339" spans="1:4">
      <c r="A11339" t="s">
        <v>16248</v>
      </c>
      <c r="B11339">
        <v>29169</v>
      </c>
      <c r="C11339" t="s">
        <v>2374</v>
      </c>
      <c r="D11339" t="s">
        <v>6168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16249</v>
      </c>
      <c r="B11341">
        <v>22786</v>
      </c>
      <c r="C11341" t="s">
        <v>4950</v>
      </c>
      <c r="D11341" t="s">
        <v>6168</v>
      </c>
    </row>
    <row r="11342" spans="1:4">
      <c r="A11342" t="s">
        <v>17170</v>
      </c>
      <c r="B11342">
        <v>44468</v>
      </c>
      <c r="C11342" t="s">
        <v>4950</v>
      </c>
      <c r="D11342" t="s">
        <v>6168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16250</v>
      </c>
      <c r="B11344">
        <v>22788</v>
      </c>
      <c r="C11344" t="s">
        <v>607</v>
      </c>
      <c r="D11344" t="s">
        <v>6267</v>
      </c>
    </row>
    <row r="11345" spans="1:4">
      <c r="A11345" t="s">
        <v>16251</v>
      </c>
      <c r="B11345">
        <v>22789</v>
      </c>
      <c r="C11345" t="s">
        <v>16252</v>
      </c>
      <c r="D11345" t="s">
        <v>6314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16253</v>
      </c>
      <c r="B11348">
        <v>22791</v>
      </c>
      <c r="C11348" t="s">
        <v>8360</v>
      </c>
      <c r="D11348" t="s">
        <v>6168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16254</v>
      </c>
      <c r="B11350">
        <v>27351</v>
      </c>
      <c r="C11350" t="s">
        <v>2012</v>
      </c>
      <c r="D11350" t="s">
        <v>6168</v>
      </c>
    </row>
    <row r="11351" spans="1:4">
      <c r="A11351" t="s">
        <v>16255</v>
      </c>
      <c r="B11351">
        <v>452</v>
      </c>
      <c r="C11351" t="s">
        <v>16256</v>
      </c>
      <c r="D11351" t="s">
        <v>6168</v>
      </c>
    </row>
    <row r="11352" spans="1:4">
      <c r="A11352" t="s">
        <v>16782</v>
      </c>
      <c r="B11352">
        <v>43344</v>
      </c>
      <c r="C11352" t="s">
        <v>16726</v>
      </c>
      <c r="D11352" t="s">
        <v>123</v>
      </c>
    </row>
    <row r="11353" spans="1:4">
      <c r="A11353" t="s">
        <v>16735</v>
      </c>
      <c r="B11353">
        <v>43314</v>
      </c>
      <c r="C11353" t="s">
        <v>16736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16257</v>
      </c>
      <c r="B11355">
        <v>22792</v>
      </c>
      <c r="C11355" t="s">
        <v>4296</v>
      </c>
      <c r="D11355" t="s">
        <v>6267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16258</v>
      </c>
      <c r="B11357">
        <v>22794</v>
      </c>
      <c r="C11357" t="s">
        <v>4950</v>
      </c>
      <c r="D11357" t="s">
        <v>6168</v>
      </c>
    </row>
    <row r="11358" spans="1:4">
      <c r="A11358" t="s">
        <v>16259</v>
      </c>
      <c r="B11358">
        <v>22795</v>
      </c>
      <c r="C11358" t="s">
        <v>4950</v>
      </c>
      <c r="D11358" t="s">
        <v>6168</v>
      </c>
    </row>
    <row r="11359" spans="1:4">
      <c r="A11359" t="s">
        <v>16260</v>
      </c>
      <c r="B11359">
        <v>4520</v>
      </c>
      <c r="D11359" t="s">
        <v>6241</v>
      </c>
    </row>
    <row r="11360" spans="1:4">
      <c r="A11360" t="s">
        <v>16261</v>
      </c>
      <c r="B11360">
        <v>23288</v>
      </c>
      <c r="C11360" t="s">
        <v>16262</v>
      </c>
      <c r="D11360" t="s">
        <v>6241</v>
      </c>
    </row>
    <row r="11361" spans="1:4">
      <c r="A11361" t="s">
        <v>16263</v>
      </c>
      <c r="B11361">
        <v>4525</v>
      </c>
      <c r="C11361" t="s">
        <v>13349</v>
      </c>
      <c r="D11361" t="s">
        <v>6245</v>
      </c>
    </row>
    <row r="11362" spans="1:4">
      <c r="A11362" t="s">
        <v>16264</v>
      </c>
      <c r="B11362">
        <v>33964</v>
      </c>
      <c r="C11362" t="s">
        <v>8434</v>
      </c>
      <c r="D11362" t="s">
        <v>6168</v>
      </c>
    </row>
    <row r="11363" spans="1:4">
      <c r="A11363" t="s">
        <v>17012</v>
      </c>
      <c r="B11363">
        <v>44272</v>
      </c>
      <c r="C11363" t="s">
        <v>5837</v>
      </c>
      <c r="D11363" t="s">
        <v>123</v>
      </c>
    </row>
    <row r="11364" spans="1:4">
      <c r="A11364" t="s">
        <v>17051</v>
      </c>
      <c r="B11364">
        <v>44301</v>
      </c>
      <c r="C11364" t="s">
        <v>8741</v>
      </c>
      <c r="D11364" t="s">
        <v>6168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16265</v>
      </c>
      <c r="B11367">
        <v>40409</v>
      </c>
      <c r="C11367" t="s">
        <v>8397</v>
      </c>
      <c r="D11367" t="s">
        <v>6168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16266</v>
      </c>
      <c r="B11369">
        <v>22797</v>
      </c>
      <c r="C11369" t="s">
        <v>16267</v>
      </c>
      <c r="D11369" t="s">
        <v>6168</v>
      </c>
    </row>
    <row r="11370" spans="1:4">
      <c r="A11370" t="s">
        <v>16268</v>
      </c>
      <c r="B11370">
        <v>22798</v>
      </c>
      <c r="C11370" t="s">
        <v>569</v>
      </c>
      <c r="D11370" t="s">
        <v>6168</v>
      </c>
    </row>
    <row r="11371" spans="1:4">
      <c r="A11371" t="s">
        <v>16269</v>
      </c>
      <c r="B11371">
        <v>22859</v>
      </c>
      <c r="C11371" t="s">
        <v>746</v>
      </c>
      <c r="D11371" t="s">
        <v>6168</v>
      </c>
    </row>
    <row r="11372" spans="1:4">
      <c r="A11372" t="s">
        <v>16270</v>
      </c>
      <c r="B11372">
        <v>22799</v>
      </c>
      <c r="C11372" t="s">
        <v>16271</v>
      </c>
      <c r="D11372" t="s">
        <v>6168</v>
      </c>
    </row>
    <row r="11373" spans="1:4">
      <c r="A11373" t="s">
        <v>16272</v>
      </c>
      <c r="B11373">
        <v>22800</v>
      </c>
      <c r="C11373" t="s">
        <v>585</v>
      </c>
      <c r="D11373" t="s">
        <v>6267</v>
      </c>
    </row>
    <row r="11374" spans="1:4">
      <c r="A11374" t="s">
        <v>16273</v>
      </c>
      <c r="B11374">
        <v>22801</v>
      </c>
      <c r="C11374" t="s">
        <v>585</v>
      </c>
      <c r="D11374" t="s">
        <v>6305</v>
      </c>
    </row>
    <row r="11375" spans="1:4">
      <c r="A11375" t="s">
        <v>16976</v>
      </c>
      <c r="B11375">
        <v>44041</v>
      </c>
      <c r="C11375" t="s">
        <v>16977</v>
      </c>
      <c r="D11375" t="s">
        <v>123</v>
      </c>
    </row>
    <row r="11376" spans="1:4">
      <c r="A11376" t="s">
        <v>16274</v>
      </c>
      <c r="B11376">
        <v>43573</v>
      </c>
      <c r="C11376" t="s">
        <v>16275</v>
      </c>
      <c r="D11376" t="s">
        <v>134</v>
      </c>
    </row>
    <row r="11377" spans="1:4">
      <c r="A11377" t="s">
        <v>16918</v>
      </c>
      <c r="B11377">
        <v>43987</v>
      </c>
      <c r="C11377" t="s">
        <v>16275</v>
      </c>
      <c r="D11377" t="s">
        <v>6267</v>
      </c>
    </row>
    <row r="11378" spans="1:4">
      <c r="A11378" t="s">
        <v>16276</v>
      </c>
      <c r="B11378">
        <v>42941</v>
      </c>
      <c r="C11378" t="s">
        <v>16275</v>
      </c>
      <c r="D11378" t="s">
        <v>6314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16277</v>
      </c>
      <c r="B11380">
        <v>24908</v>
      </c>
      <c r="C11380" t="s">
        <v>2941</v>
      </c>
      <c r="D11380" t="s">
        <v>6168</v>
      </c>
    </row>
    <row r="11381" spans="1:4">
      <c r="A11381" t="s">
        <v>16278</v>
      </c>
      <c r="B11381">
        <v>39490</v>
      </c>
      <c r="C11381" t="s">
        <v>12604</v>
      </c>
      <c r="D11381" t="s">
        <v>6267</v>
      </c>
    </row>
    <row r="11382" spans="1:4">
      <c r="A11382" t="s">
        <v>16279</v>
      </c>
      <c r="B11382">
        <v>33910</v>
      </c>
      <c r="C11382" t="s">
        <v>13010</v>
      </c>
      <c r="D11382" t="s">
        <v>6605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16280</v>
      </c>
      <c r="B11385">
        <v>22803</v>
      </c>
      <c r="C11385" t="s">
        <v>10501</v>
      </c>
      <c r="D11385" t="s">
        <v>6168</v>
      </c>
    </row>
    <row r="11386" spans="1:4">
      <c r="A11386" t="s">
        <v>16281</v>
      </c>
      <c r="B11386">
        <v>22804</v>
      </c>
      <c r="C11386" t="s">
        <v>16282</v>
      </c>
      <c r="D11386" t="s">
        <v>6168</v>
      </c>
    </row>
    <row r="11387" spans="1:4">
      <c r="A11387" t="s">
        <v>16283</v>
      </c>
      <c r="B11387">
        <v>22805</v>
      </c>
      <c r="C11387" t="s">
        <v>10501</v>
      </c>
      <c r="D11387" t="s">
        <v>6168</v>
      </c>
    </row>
    <row r="11388" spans="1:4">
      <c r="A11388" t="s">
        <v>16284</v>
      </c>
      <c r="B11388">
        <v>22806</v>
      </c>
      <c r="C11388" t="s">
        <v>991</v>
      </c>
      <c r="D11388" t="s">
        <v>6168</v>
      </c>
    </row>
    <row r="11389" spans="1:4">
      <c r="A11389" t="s">
        <v>16285</v>
      </c>
      <c r="B11389">
        <v>22807</v>
      </c>
      <c r="C11389" t="s">
        <v>11325</v>
      </c>
      <c r="D11389" t="s">
        <v>6168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16286</v>
      </c>
      <c r="B11391">
        <v>2361</v>
      </c>
      <c r="C11391" t="s">
        <v>6760</v>
      </c>
      <c r="D11391" t="s">
        <v>6168</v>
      </c>
    </row>
    <row r="11392" spans="1:4">
      <c r="A11392" t="s">
        <v>16287</v>
      </c>
      <c r="B11392">
        <v>2362</v>
      </c>
      <c r="D11392" t="s">
        <v>6168</v>
      </c>
    </row>
    <row r="11393" spans="1:4">
      <c r="A11393" t="s">
        <v>16288</v>
      </c>
      <c r="B11393">
        <v>2363</v>
      </c>
      <c r="C11393" t="s">
        <v>16289</v>
      </c>
      <c r="D11393" t="s">
        <v>6168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16290</v>
      </c>
      <c r="B11397">
        <v>39502</v>
      </c>
      <c r="D11397" t="s">
        <v>6267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16291</v>
      </c>
      <c r="B11399">
        <v>29168</v>
      </c>
      <c r="C11399" t="s">
        <v>367</v>
      </c>
      <c r="D11399" t="s">
        <v>6168</v>
      </c>
    </row>
    <row r="11400" spans="1:4">
      <c r="A11400" t="s">
        <v>16292</v>
      </c>
      <c r="B11400">
        <v>9806</v>
      </c>
      <c r="C11400" t="s">
        <v>16293</v>
      </c>
      <c r="D11400" t="s">
        <v>6168</v>
      </c>
    </row>
    <row r="11401" spans="1:4">
      <c r="A11401" t="s">
        <v>16294</v>
      </c>
      <c r="B11401">
        <v>10196</v>
      </c>
      <c r="C11401" t="s">
        <v>16295</v>
      </c>
      <c r="D11401" t="s">
        <v>6168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16296</v>
      </c>
      <c r="B11403">
        <v>19357</v>
      </c>
      <c r="D11403" t="s">
        <v>6168</v>
      </c>
    </row>
    <row r="11404" spans="1:4">
      <c r="A11404" t="s">
        <v>16297</v>
      </c>
      <c r="B11404">
        <v>19358</v>
      </c>
      <c r="C11404" t="s">
        <v>11889</v>
      </c>
      <c r="D11404" t="s">
        <v>6168</v>
      </c>
    </row>
    <row r="11405" spans="1:4">
      <c r="A11405" t="s">
        <v>16298</v>
      </c>
      <c r="B11405">
        <v>19359</v>
      </c>
      <c r="D11405" t="s">
        <v>6168</v>
      </c>
    </row>
    <row r="11406" spans="1:4">
      <c r="A11406" t="s">
        <v>16299</v>
      </c>
      <c r="B11406">
        <v>20564</v>
      </c>
      <c r="C11406" t="s">
        <v>16300</v>
      </c>
      <c r="D11406" t="s">
        <v>6168</v>
      </c>
    </row>
    <row r="11407" spans="1:4">
      <c r="A11407" t="s">
        <v>16301</v>
      </c>
      <c r="B11407">
        <v>20355</v>
      </c>
      <c r="C11407" t="s">
        <v>16302</v>
      </c>
      <c r="D11407" t="s">
        <v>6168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16303</v>
      </c>
      <c r="B11409">
        <v>205</v>
      </c>
      <c r="C11409" t="s">
        <v>16304</v>
      </c>
      <c r="D11409" t="s">
        <v>6168</v>
      </c>
    </row>
    <row r="11410" spans="1:4">
      <c r="A11410" t="s">
        <v>16305</v>
      </c>
      <c r="B11410">
        <v>31051</v>
      </c>
      <c r="C11410" t="s">
        <v>16304</v>
      </c>
      <c r="D11410" t="s">
        <v>6168</v>
      </c>
    </row>
    <row r="11411" spans="1:4">
      <c r="A11411" t="s">
        <v>16306</v>
      </c>
      <c r="B11411">
        <v>181</v>
      </c>
      <c r="D11411" t="s">
        <v>6245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16307</v>
      </c>
      <c r="B11413">
        <v>253</v>
      </c>
      <c r="C11413" t="s">
        <v>6760</v>
      </c>
      <c r="D11413" t="s">
        <v>6168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16308</v>
      </c>
      <c r="B11415">
        <v>1054</v>
      </c>
      <c r="D11415" t="s">
        <v>6245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16309</v>
      </c>
      <c r="B11417">
        <v>35315</v>
      </c>
      <c r="C11417" t="s">
        <v>15061</v>
      </c>
      <c r="D11417" t="s">
        <v>6168</v>
      </c>
    </row>
    <row r="11418" spans="1:4">
      <c r="A11418" t="s">
        <v>16310</v>
      </c>
      <c r="B11418">
        <v>24319</v>
      </c>
      <c r="C11418" t="s">
        <v>1273</v>
      </c>
      <c r="D11418" t="s">
        <v>6168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6267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16311</v>
      </c>
      <c r="B11422">
        <v>22809</v>
      </c>
      <c r="C11422" t="s">
        <v>7029</v>
      </c>
      <c r="D11422" t="s">
        <v>6168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16312</v>
      </c>
      <c r="B11424">
        <v>20524</v>
      </c>
      <c r="C11424" t="s">
        <v>16313</v>
      </c>
      <c r="D11424" t="s">
        <v>6168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16314</v>
      </c>
      <c r="B11427">
        <v>24909</v>
      </c>
      <c r="D11427" t="s">
        <v>6248</v>
      </c>
    </row>
    <row r="11428" spans="1:4">
      <c r="A11428" t="s">
        <v>16315</v>
      </c>
      <c r="B11428">
        <v>25269</v>
      </c>
      <c r="C11428" t="s">
        <v>13992</v>
      </c>
      <c r="D11428" t="s">
        <v>6168</v>
      </c>
    </row>
    <row r="11429" spans="1:4">
      <c r="A11429" t="s">
        <v>16316</v>
      </c>
      <c r="B11429">
        <v>25270</v>
      </c>
      <c r="C11429" t="s">
        <v>823</v>
      </c>
      <c r="D11429" t="s">
        <v>6168</v>
      </c>
    </row>
    <row r="11430" spans="1:4">
      <c r="A11430" t="s">
        <v>16317</v>
      </c>
      <c r="B11430">
        <v>25271</v>
      </c>
      <c r="C11430" t="s">
        <v>16318</v>
      </c>
      <c r="D11430" t="s">
        <v>6168</v>
      </c>
    </row>
    <row r="11431" spans="1:4">
      <c r="A11431" t="s">
        <v>16319</v>
      </c>
      <c r="B11431">
        <v>25273</v>
      </c>
      <c r="C11431" t="s">
        <v>13992</v>
      </c>
      <c r="D11431" t="s">
        <v>6168</v>
      </c>
    </row>
    <row r="11432" spans="1:4">
      <c r="A11432" t="s">
        <v>16320</v>
      </c>
      <c r="B11432">
        <v>24910</v>
      </c>
      <c r="D11432" t="s">
        <v>6248</v>
      </c>
    </row>
    <row r="11433" spans="1:4">
      <c r="A11433" t="s">
        <v>16321</v>
      </c>
      <c r="B11433">
        <v>39795</v>
      </c>
      <c r="C11433" t="s">
        <v>13992</v>
      </c>
      <c r="D11433" t="s">
        <v>6168</v>
      </c>
    </row>
    <row r="11434" spans="1:4">
      <c r="A11434" t="s">
        <v>16322</v>
      </c>
      <c r="B11434">
        <v>25290</v>
      </c>
      <c r="C11434" t="s">
        <v>6785</v>
      </c>
      <c r="D11434" t="s">
        <v>6168</v>
      </c>
    </row>
    <row r="11435" spans="1:4">
      <c r="A11435" t="s">
        <v>16323</v>
      </c>
      <c r="B11435">
        <v>39796</v>
      </c>
      <c r="C11435" t="s">
        <v>6785</v>
      </c>
      <c r="D11435" t="s">
        <v>6168</v>
      </c>
    </row>
    <row r="11436" spans="1:4">
      <c r="A11436" t="s">
        <v>16324</v>
      </c>
      <c r="B11436">
        <v>31830</v>
      </c>
      <c r="C11436" t="s">
        <v>16318</v>
      </c>
      <c r="D11436" t="s">
        <v>6168</v>
      </c>
    </row>
    <row r="11437" spans="1:4">
      <c r="A11437" t="s">
        <v>16325</v>
      </c>
      <c r="B11437">
        <v>39797</v>
      </c>
      <c r="C11437" t="s">
        <v>13992</v>
      </c>
      <c r="D11437" t="s">
        <v>6168</v>
      </c>
    </row>
    <row r="11438" spans="1:4">
      <c r="A11438" t="s">
        <v>16326</v>
      </c>
      <c r="B11438">
        <v>23963</v>
      </c>
      <c r="C11438" t="s">
        <v>13992</v>
      </c>
      <c r="D11438" t="s">
        <v>6267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16327</v>
      </c>
      <c r="B11440">
        <v>22811</v>
      </c>
      <c r="C11440" t="s">
        <v>16328</v>
      </c>
      <c r="D11440" t="s">
        <v>6168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16329</v>
      </c>
      <c r="B11444">
        <v>2756</v>
      </c>
      <c r="C11444" t="s">
        <v>16330</v>
      </c>
      <c r="D11444" t="s">
        <v>6168</v>
      </c>
    </row>
    <row r="11445" spans="1:4">
      <c r="A11445" t="s">
        <v>16919</v>
      </c>
      <c r="B11445">
        <v>43989</v>
      </c>
      <c r="C11445" t="s">
        <v>16920</v>
      </c>
      <c r="D11445" t="s">
        <v>6267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16331</v>
      </c>
      <c r="B11447">
        <v>5236</v>
      </c>
      <c r="C11447" t="s">
        <v>16332</v>
      </c>
      <c r="D11447" t="s">
        <v>6168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17171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16333</v>
      </c>
      <c r="B11451">
        <v>26036</v>
      </c>
      <c r="C11451" t="s">
        <v>465</v>
      </c>
      <c r="D11451" t="s">
        <v>6314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16334</v>
      </c>
      <c r="B11453">
        <v>23079</v>
      </c>
      <c r="C11453" t="s">
        <v>11149</v>
      </c>
      <c r="D11453" t="s">
        <v>6267</v>
      </c>
    </row>
    <row r="11454" spans="1:4">
      <c r="A11454" t="s">
        <v>16335</v>
      </c>
      <c r="B11454">
        <v>23080</v>
      </c>
      <c r="C11454" t="s">
        <v>11149</v>
      </c>
      <c r="D11454" t="s">
        <v>6305</v>
      </c>
    </row>
    <row r="11455" spans="1:4">
      <c r="A11455" t="s">
        <v>16921</v>
      </c>
      <c r="B11455">
        <v>43990</v>
      </c>
      <c r="C11455" t="s">
        <v>16917</v>
      </c>
      <c r="D11455" t="s">
        <v>123</v>
      </c>
    </row>
    <row r="11456" spans="1:4">
      <c r="A11456" t="s">
        <v>17083</v>
      </c>
      <c r="B11456">
        <v>44340</v>
      </c>
      <c r="C11456" t="s">
        <v>4950</v>
      </c>
      <c r="D11456" t="s">
        <v>6168</v>
      </c>
    </row>
    <row r="11457" spans="1:4">
      <c r="A11457" t="s">
        <v>16978</v>
      </c>
      <c r="B11457">
        <v>44042</v>
      </c>
      <c r="C11457" t="s">
        <v>6330</v>
      </c>
      <c r="D11457" t="s">
        <v>6168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16336</v>
      </c>
      <c r="B11461">
        <v>23964</v>
      </c>
      <c r="C11461" t="s">
        <v>6853</v>
      </c>
      <c r="D11461" t="s">
        <v>6168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16337</v>
      </c>
      <c r="B11463">
        <v>2686</v>
      </c>
      <c r="C11463" t="s">
        <v>16338</v>
      </c>
      <c r="D11463" t="s">
        <v>6168</v>
      </c>
    </row>
    <row r="11464" spans="1:4">
      <c r="A11464" t="s">
        <v>16339</v>
      </c>
      <c r="B11464">
        <v>32513</v>
      </c>
      <c r="C11464" t="s">
        <v>7124</v>
      </c>
      <c r="D11464" t="s">
        <v>6449</v>
      </c>
    </row>
    <row r="11465" spans="1:4">
      <c r="A11465" t="s">
        <v>16340</v>
      </c>
      <c r="B11465">
        <v>22812</v>
      </c>
      <c r="C11465" t="s">
        <v>585</v>
      </c>
      <c r="D11465" t="s">
        <v>6267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16341</v>
      </c>
      <c r="B11467">
        <v>42266</v>
      </c>
      <c r="C11467" t="s">
        <v>16342</v>
      </c>
      <c r="D11467" t="s">
        <v>6168</v>
      </c>
    </row>
    <row r="11468" spans="1:4">
      <c r="A11468" t="s">
        <v>17364</v>
      </c>
      <c r="B11468">
        <v>45459</v>
      </c>
      <c r="C11468" t="s">
        <v>4950</v>
      </c>
      <c r="D11468" t="s">
        <v>6168</v>
      </c>
    </row>
    <row r="11469" spans="1:4">
      <c r="A11469" t="s">
        <v>16343</v>
      </c>
      <c r="B11469">
        <v>42267</v>
      </c>
      <c r="C11469" t="s">
        <v>4950</v>
      </c>
      <c r="D11469" t="s">
        <v>6168</v>
      </c>
    </row>
    <row r="11470" spans="1:4">
      <c r="A11470" t="s">
        <v>16344</v>
      </c>
      <c r="B11470">
        <v>42268</v>
      </c>
      <c r="C11470" t="s">
        <v>8314</v>
      </c>
      <c r="D11470" t="s">
        <v>6168</v>
      </c>
    </row>
    <row r="11471" spans="1:4">
      <c r="A11471" t="s">
        <v>16345</v>
      </c>
      <c r="B11471">
        <v>42269</v>
      </c>
      <c r="C11471" t="s">
        <v>4950</v>
      </c>
      <c r="D11471" t="s">
        <v>6168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16346</v>
      </c>
      <c r="B11473">
        <v>30799</v>
      </c>
      <c r="C11473" t="s">
        <v>16347</v>
      </c>
      <c r="D11473" t="s">
        <v>6168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16348</v>
      </c>
      <c r="B11475">
        <v>22813</v>
      </c>
      <c r="C11475" t="s">
        <v>2310</v>
      </c>
      <c r="D11475" t="s">
        <v>6314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16349</v>
      </c>
      <c r="B11477">
        <v>22815</v>
      </c>
      <c r="C11477" t="s">
        <v>14393</v>
      </c>
      <c r="D11477" t="s">
        <v>6168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16350</v>
      </c>
      <c r="B11479">
        <v>29166</v>
      </c>
      <c r="C11479" t="s">
        <v>8528</v>
      </c>
      <c r="D11479" t="s">
        <v>6168</v>
      </c>
    </row>
    <row r="11480" spans="1:4">
      <c r="A11480" t="s">
        <v>16351</v>
      </c>
      <c r="B11480">
        <v>29164</v>
      </c>
      <c r="C11480" t="s">
        <v>6851</v>
      </c>
      <c r="D11480" t="s">
        <v>6168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16352</v>
      </c>
      <c r="B11482">
        <v>39446</v>
      </c>
      <c r="C11482" t="s">
        <v>609</v>
      </c>
      <c r="D11482" t="s">
        <v>6267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16353</v>
      </c>
      <c r="B11484">
        <v>3142</v>
      </c>
      <c r="D11484" t="s">
        <v>6168</v>
      </c>
    </row>
    <row r="11485" spans="1:4">
      <c r="A11485" t="s">
        <v>16354</v>
      </c>
      <c r="B11485">
        <v>3124</v>
      </c>
      <c r="C11485" t="s">
        <v>16355</v>
      </c>
      <c r="D11485" t="s">
        <v>6168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16356</v>
      </c>
      <c r="B11487">
        <v>22817</v>
      </c>
      <c r="C11487" t="s">
        <v>264</v>
      </c>
      <c r="D11487" t="s">
        <v>6314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16357</v>
      </c>
      <c r="B11489">
        <v>5233</v>
      </c>
      <c r="C11489" t="s">
        <v>16358</v>
      </c>
      <c r="D11489" t="s">
        <v>6168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16359</v>
      </c>
      <c r="B11491">
        <v>2962</v>
      </c>
      <c r="C11491" t="s">
        <v>16360</v>
      </c>
      <c r="D11491" t="s">
        <v>6168</v>
      </c>
    </row>
    <row r="11492" spans="1:4">
      <c r="A11492" t="s">
        <v>16361</v>
      </c>
      <c r="B11492">
        <v>41716</v>
      </c>
      <c r="D11492" t="s">
        <v>6245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16362</v>
      </c>
      <c r="B11494">
        <v>34971</v>
      </c>
      <c r="C11494" t="s">
        <v>13332</v>
      </c>
      <c r="D11494" t="s">
        <v>6267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16363</v>
      </c>
      <c r="B11496">
        <v>34140</v>
      </c>
      <c r="C11496" t="s">
        <v>16364</v>
      </c>
      <c r="D11496" t="s">
        <v>6168</v>
      </c>
    </row>
    <row r="11497" spans="1:4">
      <c r="A11497" t="s">
        <v>16365</v>
      </c>
      <c r="B11497">
        <v>34141</v>
      </c>
      <c r="C11497" t="s">
        <v>16364</v>
      </c>
      <c r="D11497" t="s">
        <v>6168</v>
      </c>
    </row>
    <row r="11498" spans="1:4">
      <c r="A11498" t="s">
        <v>16922</v>
      </c>
      <c r="B11498">
        <v>43991</v>
      </c>
      <c r="C11498" t="s">
        <v>16923</v>
      </c>
      <c r="D11498" t="s">
        <v>123</v>
      </c>
    </row>
    <row r="11499" spans="1:4">
      <c r="A11499" t="s">
        <v>16366</v>
      </c>
      <c r="B11499">
        <v>43578</v>
      </c>
      <c r="C11499" t="s">
        <v>16367</v>
      </c>
      <c r="D11499" t="s">
        <v>134</v>
      </c>
    </row>
    <row r="11500" spans="1:4">
      <c r="A11500" t="s">
        <v>16368</v>
      </c>
      <c r="B11500">
        <v>42970</v>
      </c>
      <c r="C11500" t="s">
        <v>10907</v>
      </c>
      <c r="D11500" t="s">
        <v>6314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16369</v>
      </c>
      <c r="B11503">
        <v>41784</v>
      </c>
      <c r="C11503" t="s">
        <v>6219</v>
      </c>
      <c r="D11503" t="s">
        <v>6168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16370</v>
      </c>
      <c r="B11505">
        <v>41717</v>
      </c>
      <c r="C11505" t="s">
        <v>624</v>
      </c>
      <c r="D11505" t="s">
        <v>6267</v>
      </c>
    </row>
    <row r="11506" spans="1:4">
      <c r="A11506" t="s">
        <v>16371</v>
      </c>
      <c r="B11506">
        <v>39799</v>
      </c>
      <c r="C11506" t="s">
        <v>624</v>
      </c>
      <c r="D11506" t="s">
        <v>6314</v>
      </c>
    </row>
    <row r="11507" spans="1:4">
      <c r="A11507" t="s">
        <v>16372</v>
      </c>
      <c r="B11507">
        <v>25772</v>
      </c>
      <c r="C11507" t="s">
        <v>4950</v>
      </c>
      <c r="D11507" t="s">
        <v>6168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16373</v>
      </c>
      <c r="B11509">
        <v>31162</v>
      </c>
      <c r="D11509" t="s">
        <v>6248</v>
      </c>
    </row>
    <row r="11510" spans="1:4">
      <c r="A11510" t="s">
        <v>16374</v>
      </c>
      <c r="B11510">
        <v>30503</v>
      </c>
      <c r="C11510" t="s">
        <v>2918</v>
      </c>
      <c r="D11510" t="s">
        <v>6168</v>
      </c>
    </row>
    <row r="11511" spans="1:4">
      <c r="A11511" t="s">
        <v>16375</v>
      </c>
      <c r="B11511">
        <v>23965</v>
      </c>
      <c r="C11511" t="s">
        <v>2918</v>
      </c>
      <c r="D11511" t="s">
        <v>6168</v>
      </c>
    </row>
    <row r="11512" spans="1:4">
      <c r="A11512" t="s">
        <v>16376</v>
      </c>
      <c r="B11512">
        <v>26034</v>
      </c>
      <c r="C11512" t="s">
        <v>8174</v>
      </c>
      <c r="D11512" t="s">
        <v>6168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16377</v>
      </c>
      <c r="B11514">
        <v>42931</v>
      </c>
      <c r="C11514" t="s">
        <v>16378</v>
      </c>
      <c r="D11514" t="s">
        <v>6168</v>
      </c>
    </row>
    <row r="11515" spans="1:4">
      <c r="A11515" t="s">
        <v>16379</v>
      </c>
      <c r="B11515">
        <v>38812</v>
      </c>
      <c r="C11515" t="s">
        <v>16216</v>
      </c>
      <c r="D11515" t="s">
        <v>6168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16380</v>
      </c>
      <c r="B11517">
        <v>35086</v>
      </c>
      <c r="C11517" t="s">
        <v>6173</v>
      </c>
      <c r="D11517" t="s">
        <v>6168</v>
      </c>
    </row>
    <row r="11518" spans="1:4">
      <c r="A11518" t="s">
        <v>16381</v>
      </c>
      <c r="B11518">
        <v>26033</v>
      </c>
      <c r="C11518" t="s">
        <v>16382</v>
      </c>
      <c r="D11518" t="s">
        <v>6168</v>
      </c>
    </row>
    <row r="11519" spans="1:4">
      <c r="A11519" t="s">
        <v>16383</v>
      </c>
      <c r="B11519">
        <v>25274</v>
      </c>
      <c r="C11519" t="s">
        <v>1344</v>
      </c>
      <c r="D11519" t="s">
        <v>6168</v>
      </c>
    </row>
    <row r="11520" spans="1:4">
      <c r="A11520" t="s">
        <v>16384</v>
      </c>
      <c r="B11520">
        <v>35087</v>
      </c>
      <c r="C11520" t="s">
        <v>16385</v>
      </c>
      <c r="D11520" t="s">
        <v>6168</v>
      </c>
    </row>
    <row r="11521" spans="1:4">
      <c r="A11521" t="s">
        <v>16386</v>
      </c>
      <c r="B11521">
        <v>24321</v>
      </c>
      <c r="C11521" t="s">
        <v>5719</v>
      </c>
      <c r="D11521" t="s">
        <v>6267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16387</v>
      </c>
      <c r="B11523">
        <v>24912</v>
      </c>
      <c r="C11523" t="s">
        <v>6303</v>
      </c>
      <c r="D11523" t="s">
        <v>6168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16388</v>
      </c>
      <c r="B11525">
        <v>41286</v>
      </c>
      <c r="C11525" t="s">
        <v>5822</v>
      </c>
      <c r="D11525" t="s">
        <v>6168</v>
      </c>
    </row>
    <row r="11526" spans="1:4">
      <c r="A11526" t="s">
        <v>16389</v>
      </c>
      <c r="B11526">
        <v>20710</v>
      </c>
      <c r="C11526" t="s">
        <v>12037</v>
      </c>
      <c r="D11526" t="s">
        <v>6245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16390</v>
      </c>
      <c r="B11529">
        <v>2986</v>
      </c>
      <c r="C11529" t="s">
        <v>16391</v>
      </c>
      <c r="D11529" t="s">
        <v>6168</v>
      </c>
    </row>
    <row r="11530" spans="1:4">
      <c r="A11530" t="s">
        <v>16392</v>
      </c>
      <c r="B11530">
        <v>26115</v>
      </c>
      <c r="C11530" t="s">
        <v>16393</v>
      </c>
      <c r="D11530" t="s">
        <v>6168</v>
      </c>
    </row>
    <row r="11531" spans="1:4">
      <c r="A11531" t="s">
        <v>16394</v>
      </c>
      <c r="B11531">
        <v>20399</v>
      </c>
      <c r="C11531" t="s">
        <v>16395</v>
      </c>
      <c r="D11531" t="s">
        <v>6168</v>
      </c>
    </row>
    <row r="11532" spans="1:4">
      <c r="A11532" t="s">
        <v>16396</v>
      </c>
      <c r="B11532">
        <v>946</v>
      </c>
      <c r="C11532" t="s">
        <v>9020</v>
      </c>
      <c r="D11532" t="s">
        <v>6168</v>
      </c>
    </row>
    <row r="11533" spans="1:4">
      <c r="A11533" t="s">
        <v>16397</v>
      </c>
      <c r="B11533">
        <v>20723</v>
      </c>
      <c r="C11533" t="s">
        <v>16398</v>
      </c>
      <c r="D11533" t="s">
        <v>10633</v>
      </c>
    </row>
    <row r="11534" spans="1:4">
      <c r="A11534" t="s">
        <v>16399</v>
      </c>
      <c r="B11534">
        <v>23127</v>
      </c>
      <c r="D11534" t="s">
        <v>6241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16763</v>
      </c>
      <c r="B11536">
        <v>43332</v>
      </c>
      <c r="D11536" t="s">
        <v>134</v>
      </c>
    </row>
    <row r="11537" spans="1:4">
      <c r="A11537" t="s">
        <v>16400</v>
      </c>
      <c r="B11537">
        <v>23264</v>
      </c>
      <c r="D11537" t="s">
        <v>6230</v>
      </c>
    </row>
    <row r="11538" spans="1:4">
      <c r="A11538" t="s">
        <v>16401</v>
      </c>
      <c r="B11538">
        <v>23451</v>
      </c>
      <c r="C11538" t="s">
        <v>2189</v>
      </c>
      <c r="D11538" t="s">
        <v>6267</v>
      </c>
    </row>
    <row r="11539" spans="1:4">
      <c r="A11539" t="s">
        <v>16402</v>
      </c>
      <c r="B11539">
        <v>5231</v>
      </c>
      <c r="D11539" t="s">
        <v>6267</v>
      </c>
    </row>
    <row r="11540" spans="1:4">
      <c r="A11540" t="s">
        <v>16403</v>
      </c>
      <c r="B11540">
        <v>29901</v>
      </c>
      <c r="D11540" t="s">
        <v>6267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16404</v>
      </c>
      <c r="B11542">
        <v>24323</v>
      </c>
      <c r="C11542" t="s">
        <v>15613</v>
      </c>
      <c r="D11542" t="s">
        <v>6168</v>
      </c>
    </row>
    <row r="11543" spans="1:4">
      <c r="A11543" t="s">
        <v>17540</v>
      </c>
      <c r="B11543">
        <v>45961</v>
      </c>
      <c r="C11543" t="s">
        <v>17541</v>
      </c>
      <c r="D11543" t="s">
        <v>6168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16405</v>
      </c>
      <c r="B11545">
        <v>41752</v>
      </c>
      <c r="C11545" t="s">
        <v>1273</v>
      </c>
      <c r="D11545" t="s">
        <v>6168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16406</v>
      </c>
      <c r="B11549">
        <v>25275</v>
      </c>
      <c r="C11549" t="s">
        <v>2616</v>
      </c>
      <c r="D11549" t="s">
        <v>6168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16407</v>
      </c>
      <c r="B11551">
        <v>29588</v>
      </c>
      <c r="C11551" t="s">
        <v>1273</v>
      </c>
      <c r="D11551" t="s">
        <v>6168</v>
      </c>
    </row>
    <row r="11552" spans="1:4">
      <c r="A11552" t="s">
        <v>16408</v>
      </c>
      <c r="B11552">
        <v>23967</v>
      </c>
      <c r="C11552" t="s">
        <v>2369</v>
      </c>
      <c r="D11552" t="s">
        <v>6314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16409</v>
      </c>
      <c r="B11555">
        <v>39621</v>
      </c>
      <c r="D11555" t="s">
        <v>6230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16410</v>
      </c>
      <c r="B11557">
        <v>22819</v>
      </c>
      <c r="C11557" t="s">
        <v>6558</v>
      </c>
      <c r="D11557" t="s">
        <v>6168</v>
      </c>
    </row>
    <row r="11558" spans="1:4">
      <c r="A11558" t="s">
        <v>16411</v>
      </c>
      <c r="B11558">
        <v>3326</v>
      </c>
      <c r="C11558" t="s">
        <v>1393</v>
      </c>
      <c r="D11558" t="s">
        <v>6605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16412</v>
      </c>
      <c r="B11560">
        <v>35520</v>
      </c>
      <c r="C11560" t="s">
        <v>6330</v>
      </c>
      <c r="D11560" t="s">
        <v>6168</v>
      </c>
    </row>
    <row r="11561" spans="1:4">
      <c r="A11561" t="s">
        <v>16413</v>
      </c>
      <c r="B11561">
        <v>35519</v>
      </c>
      <c r="C11561" t="s">
        <v>6694</v>
      </c>
      <c r="D11561" t="s">
        <v>6168</v>
      </c>
    </row>
    <row r="11562" spans="1:4">
      <c r="A11562" t="s">
        <v>16924</v>
      </c>
      <c r="B11562">
        <v>43992</v>
      </c>
      <c r="C11562" t="s">
        <v>7294</v>
      </c>
      <c r="D11562" t="s">
        <v>6168</v>
      </c>
    </row>
    <row r="11563" spans="1:4">
      <c r="A11563" t="s">
        <v>16414</v>
      </c>
      <c r="B11563">
        <v>41287</v>
      </c>
      <c r="C11563" t="s">
        <v>7294</v>
      </c>
      <c r="D11563" t="s">
        <v>6168</v>
      </c>
    </row>
    <row r="11564" spans="1:4">
      <c r="A11564" t="s">
        <v>16415</v>
      </c>
      <c r="B11564">
        <v>35517</v>
      </c>
      <c r="C11564" t="s">
        <v>6330</v>
      </c>
      <c r="D11564" t="s">
        <v>6168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16416</v>
      </c>
      <c r="B11566">
        <v>22821</v>
      </c>
      <c r="C11566" t="s">
        <v>16417</v>
      </c>
      <c r="D11566" t="s">
        <v>6168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16418</v>
      </c>
      <c r="B11568">
        <v>22823</v>
      </c>
      <c r="C11568" t="s">
        <v>16419</v>
      </c>
      <c r="D11568" t="s">
        <v>6267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16420</v>
      </c>
      <c r="B11570">
        <v>34981</v>
      </c>
      <c r="C11570" t="s">
        <v>264</v>
      </c>
      <c r="D11570" t="s">
        <v>6267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16421</v>
      </c>
      <c r="B11572">
        <v>43123</v>
      </c>
      <c r="C11572" t="s">
        <v>1273</v>
      </c>
      <c r="D11572" t="s">
        <v>6168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16422</v>
      </c>
      <c r="B11574">
        <v>30239</v>
      </c>
      <c r="C11574" t="s">
        <v>8290</v>
      </c>
      <c r="D11574" t="s">
        <v>6168</v>
      </c>
    </row>
    <row r="11575" spans="1:4">
      <c r="A11575" t="s">
        <v>16423</v>
      </c>
      <c r="B11575">
        <v>25276</v>
      </c>
      <c r="C11575" t="s">
        <v>6309</v>
      </c>
      <c r="D11575" t="s">
        <v>6168</v>
      </c>
    </row>
    <row r="11576" spans="1:4">
      <c r="A11576" t="s">
        <v>16424</v>
      </c>
      <c r="B11576">
        <v>40406</v>
      </c>
      <c r="C11576" t="s">
        <v>6403</v>
      </c>
      <c r="D11576" t="s">
        <v>6168</v>
      </c>
    </row>
    <row r="11577" spans="1:4">
      <c r="A11577" t="s">
        <v>16425</v>
      </c>
      <c r="B11577">
        <v>25277</v>
      </c>
      <c r="C11577" t="s">
        <v>4950</v>
      </c>
      <c r="D11577" t="s">
        <v>6168</v>
      </c>
    </row>
    <row r="11578" spans="1:4">
      <c r="A11578" t="s">
        <v>16426</v>
      </c>
      <c r="B11578">
        <v>39455</v>
      </c>
      <c r="C11578" t="s">
        <v>512</v>
      </c>
      <c r="D11578" t="s">
        <v>6267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16427</v>
      </c>
      <c r="B11580">
        <v>43610</v>
      </c>
      <c r="C11580" t="s">
        <v>16428</v>
      </c>
      <c r="D11580" t="s">
        <v>123</v>
      </c>
    </row>
    <row r="11581" spans="1:4">
      <c r="A11581" t="s">
        <v>16429</v>
      </c>
      <c r="B11581">
        <v>43623</v>
      </c>
      <c r="C11581" t="s">
        <v>6558</v>
      </c>
      <c r="D11581" t="s">
        <v>6168</v>
      </c>
    </row>
    <row r="11582" spans="1:4">
      <c r="A11582" t="s">
        <v>16430</v>
      </c>
      <c r="B11582">
        <v>22825</v>
      </c>
      <c r="C11582" t="s">
        <v>519</v>
      </c>
      <c r="D11582" t="s">
        <v>6267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16431</v>
      </c>
      <c r="B11584">
        <v>24915</v>
      </c>
      <c r="C11584" t="s">
        <v>282</v>
      </c>
      <c r="D11584" t="s">
        <v>6168</v>
      </c>
    </row>
    <row r="11585" spans="1:4">
      <c r="A11585" t="s">
        <v>16432</v>
      </c>
      <c r="B11585">
        <v>35616</v>
      </c>
      <c r="C11585" t="s">
        <v>282</v>
      </c>
      <c r="D11585" t="s">
        <v>6168</v>
      </c>
    </row>
    <row r="11586" spans="1:4">
      <c r="A11586" t="s">
        <v>16433</v>
      </c>
      <c r="B11586">
        <v>23500</v>
      </c>
      <c r="C11586" t="s">
        <v>1143</v>
      </c>
      <c r="D11586" t="s">
        <v>6168</v>
      </c>
    </row>
    <row r="11587" spans="1:4">
      <c r="A11587" t="s">
        <v>16434</v>
      </c>
      <c r="B11587">
        <v>31818</v>
      </c>
      <c r="C11587" t="s">
        <v>4950</v>
      </c>
      <c r="D11587" t="s">
        <v>6168</v>
      </c>
    </row>
    <row r="11588" spans="1:4">
      <c r="A11588" t="s">
        <v>17172</v>
      </c>
      <c r="B11588">
        <v>44470</v>
      </c>
      <c r="C11588" t="s">
        <v>4950</v>
      </c>
      <c r="D11588" t="s">
        <v>6168</v>
      </c>
    </row>
    <row r="11589" spans="1:4">
      <c r="A11589" t="s">
        <v>16435</v>
      </c>
      <c r="B11589">
        <v>24916</v>
      </c>
      <c r="C11589" t="s">
        <v>16436</v>
      </c>
      <c r="D11589" t="s">
        <v>6168</v>
      </c>
    </row>
    <row r="11590" spans="1:4">
      <c r="A11590" t="s">
        <v>16437</v>
      </c>
      <c r="B11590">
        <v>22827</v>
      </c>
      <c r="C11590" t="s">
        <v>8360</v>
      </c>
      <c r="D11590" t="s">
        <v>6168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16438</v>
      </c>
      <c r="B11592">
        <v>22829</v>
      </c>
      <c r="C11592" t="s">
        <v>614</v>
      </c>
      <c r="D11592" t="s">
        <v>6267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16439</v>
      </c>
      <c r="B11594">
        <v>4421</v>
      </c>
      <c r="C11594" t="s">
        <v>4546</v>
      </c>
      <c r="D11594" t="s">
        <v>6168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16440</v>
      </c>
      <c r="B11596">
        <v>30749</v>
      </c>
      <c r="C11596" t="s">
        <v>15610</v>
      </c>
      <c r="D11596" t="s">
        <v>6168</v>
      </c>
    </row>
    <row r="11597" spans="1:4">
      <c r="A11597" t="s">
        <v>16681</v>
      </c>
      <c r="B11597">
        <v>30140</v>
      </c>
      <c r="C11597" t="s">
        <v>3029</v>
      </c>
      <c r="D11597" t="s">
        <v>6267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16441</v>
      </c>
      <c r="B11600">
        <v>30051</v>
      </c>
      <c r="C11600" t="s">
        <v>16442</v>
      </c>
      <c r="D11600" t="s">
        <v>6168</v>
      </c>
    </row>
    <row r="11601" spans="1:4">
      <c r="A11601" t="s">
        <v>16443</v>
      </c>
      <c r="B11601">
        <v>22830</v>
      </c>
      <c r="C11601" t="s">
        <v>13332</v>
      </c>
      <c r="D11601" t="s">
        <v>6267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16444</v>
      </c>
      <c r="B11603">
        <v>36117</v>
      </c>
      <c r="C11603" t="s">
        <v>16445</v>
      </c>
      <c r="D11603" t="s">
        <v>6168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16446</v>
      </c>
      <c r="B11605">
        <v>22832</v>
      </c>
      <c r="C11605" t="s">
        <v>16442</v>
      </c>
      <c r="D11605" t="s">
        <v>6168</v>
      </c>
    </row>
    <row r="11606" spans="1:4">
      <c r="A11606" t="s">
        <v>16447</v>
      </c>
      <c r="B11606">
        <v>39709</v>
      </c>
      <c r="C11606" t="s">
        <v>7757</v>
      </c>
      <c r="D11606" t="s">
        <v>6168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16448</v>
      </c>
      <c r="B11608">
        <v>114</v>
      </c>
      <c r="C11608" t="s">
        <v>16449</v>
      </c>
      <c r="D11608" t="s">
        <v>6168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16450</v>
      </c>
      <c r="B11614">
        <v>30651</v>
      </c>
      <c r="C11614" t="s">
        <v>6694</v>
      </c>
      <c r="D11614" t="s">
        <v>6168</v>
      </c>
    </row>
    <row r="11615" spans="1:4">
      <c r="A11615" t="s">
        <v>16925</v>
      </c>
      <c r="B11615">
        <v>43993</v>
      </c>
      <c r="C11615" t="s">
        <v>16926</v>
      </c>
      <c r="D11615" t="s">
        <v>134</v>
      </c>
    </row>
    <row r="11616" spans="1:4">
      <c r="A11616" t="s">
        <v>16979</v>
      </c>
      <c r="B11616">
        <v>44043</v>
      </c>
      <c r="C11616" t="s">
        <v>16980</v>
      </c>
      <c r="D11616" t="s">
        <v>6267</v>
      </c>
    </row>
    <row r="11617" spans="1:4">
      <c r="A11617" t="s">
        <v>16451</v>
      </c>
      <c r="B11617">
        <v>35577</v>
      </c>
      <c r="C11617" t="s">
        <v>3857</v>
      </c>
      <c r="D11617" t="s">
        <v>6267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16452</v>
      </c>
      <c r="B11619">
        <v>29902</v>
      </c>
      <c r="C11619" t="s">
        <v>16453</v>
      </c>
      <c r="D11619" t="s">
        <v>6168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16454</v>
      </c>
      <c r="B11621">
        <v>29494</v>
      </c>
      <c r="C11621" t="s">
        <v>10939</v>
      </c>
      <c r="D11621" t="s">
        <v>9775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16455</v>
      </c>
      <c r="B11623">
        <v>22834</v>
      </c>
      <c r="C11623" t="s">
        <v>616</v>
      </c>
      <c r="D11623" t="s">
        <v>6314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16456</v>
      </c>
      <c r="B11625">
        <v>22836</v>
      </c>
      <c r="C11625" t="s">
        <v>10999</v>
      </c>
      <c r="D11625" t="s">
        <v>6168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16457</v>
      </c>
      <c r="B11627">
        <v>3002</v>
      </c>
      <c r="C11627" t="s">
        <v>16458</v>
      </c>
      <c r="D11627" t="s">
        <v>6168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16459</v>
      </c>
      <c r="B11629">
        <v>30663</v>
      </c>
      <c r="C11629" t="s">
        <v>6853</v>
      </c>
      <c r="D11629" t="s">
        <v>6168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16460</v>
      </c>
      <c r="B11631">
        <v>40405</v>
      </c>
      <c r="C11631" t="s">
        <v>5743</v>
      </c>
      <c r="D11631" t="s">
        <v>6267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16461</v>
      </c>
      <c r="B11633">
        <v>3682</v>
      </c>
      <c r="C11633" t="s">
        <v>7864</v>
      </c>
      <c r="D11633" t="s">
        <v>6168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16462</v>
      </c>
      <c r="B11635">
        <v>41719</v>
      </c>
      <c r="C11635" t="s">
        <v>12029</v>
      </c>
      <c r="D11635" t="s">
        <v>6168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16463</v>
      </c>
      <c r="B11637">
        <v>39465</v>
      </c>
      <c r="C11637" t="s">
        <v>2716</v>
      </c>
      <c r="D11637" t="s">
        <v>6314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16464</v>
      </c>
      <c r="B11639">
        <v>3049</v>
      </c>
      <c r="C11639" t="s">
        <v>4849</v>
      </c>
      <c r="D11639" t="s">
        <v>6168</v>
      </c>
    </row>
    <row r="11640" spans="1:4">
      <c r="A11640" t="s">
        <v>16465</v>
      </c>
      <c r="B11640">
        <v>43173</v>
      </c>
      <c r="C11640" t="s">
        <v>16466</v>
      </c>
      <c r="D11640" t="s">
        <v>6168</v>
      </c>
    </row>
    <row r="11641" spans="1:4">
      <c r="A11641" t="s">
        <v>16467</v>
      </c>
      <c r="B11641">
        <v>3053</v>
      </c>
      <c r="C11641" t="s">
        <v>13643</v>
      </c>
      <c r="D11641" t="s">
        <v>6449</v>
      </c>
    </row>
    <row r="11642" spans="1:4">
      <c r="A11642" t="s">
        <v>16468</v>
      </c>
      <c r="B11642">
        <v>3050</v>
      </c>
      <c r="C11642" t="s">
        <v>7078</v>
      </c>
      <c r="D11642" t="s">
        <v>6168</v>
      </c>
    </row>
    <row r="11643" spans="1:4">
      <c r="A11643" t="s">
        <v>16469</v>
      </c>
      <c r="B11643">
        <v>31764</v>
      </c>
      <c r="C11643" t="s">
        <v>13643</v>
      </c>
      <c r="D11643" t="s">
        <v>6168</v>
      </c>
    </row>
    <row r="11644" spans="1:4">
      <c r="A11644" t="s">
        <v>16470</v>
      </c>
      <c r="B11644">
        <v>3051</v>
      </c>
      <c r="C11644" t="s">
        <v>6417</v>
      </c>
      <c r="D11644" t="s">
        <v>6168</v>
      </c>
    </row>
    <row r="11645" spans="1:4">
      <c r="A11645" t="s">
        <v>16471</v>
      </c>
      <c r="B11645">
        <v>3052</v>
      </c>
      <c r="C11645" t="s">
        <v>4849</v>
      </c>
      <c r="D11645" t="s">
        <v>6168</v>
      </c>
    </row>
    <row r="11646" spans="1:4">
      <c r="A11646" t="s">
        <v>16472</v>
      </c>
      <c r="B11646">
        <v>20721</v>
      </c>
      <c r="D11646" t="s">
        <v>6314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16473</v>
      </c>
      <c r="B11648">
        <v>4742</v>
      </c>
      <c r="C11648" t="s">
        <v>4279</v>
      </c>
      <c r="D11648" t="s">
        <v>6245</v>
      </c>
    </row>
    <row r="11649" spans="1:4">
      <c r="A11649" t="s">
        <v>16474</v>
      </c>
      <c r="B11649">
        <v>4367</v>
      </c>
      <c r="C11649" t="s">
        <v>692</v>
      </c>
      <c r="D11649" t="s">
        <v>6230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16475</v>
      </c>
      <c r="B11652">
        <v>4057</v>
      </c>
      <c r="C11652" t="s">
        <v>7348</v>
      </c>
      <c r="D11652" t="s">
        <v>6168</v>
      </c>
    </row>
    <row r="11653" spans="1:4">
      <c r="A11653" t="s">
        <v>16476</v>
      </c>
      <c r="B11653">
        <v>4058</v>
      </c>
      <c r="C11653" t="s">
        <v>7885</v>
      </c>
      <c r="D11653" t="s">
        <v>6168</v>
      </c>
    </row>
    <row r="11654" spans="1:4">
      <c r="A11654" t="s">
        <v>16477</v>
      </c>
      <c r="B11654">
        <v>4059</v>
      </c>
      <c r="C11654" t="s">
        <v>6190</v>
      </c>
      <c r="D11654" t="s">
        <v>6168</v>
      </c>
    </row>
    <row r="11655" spans="1:4">
      <c r="A11655" t="s">
        <v>16478</v>
      </c>
      <c r="B11655">
        <v>35102</v>
      </c>
      <c r="C11655" t="s">
        <v>16479</v>
      </c>
      <c r="D11655" t="s">
        <v>6168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16480</v>
      </c>
      <c r="B11658">
        <v>22839</v>
      </c>
      <c r="C11658" t="s">
        <v>9101</v>
      </c>
      <c r="D11658" t="s">
        <v>6168</v>
      </c>
    </row>
    <row r="11659" spans="1:4">
      <c r="A11659" t="s">
        <v>16481</v>
      </c>
      <c r="B11659">
        <v>22840</v>
      </c>
      <c r="C11659" t="s">
        <v>16482</v>
      </c>
      <c r="D11659" t="s">
        <v>6168</v>
      </c>
    </row>
    <row r="11660" spans="1:4">
      <c r="A11660" t="s">
        <v>16483</v>
      </c>
      <c r="B11660">
        <v>22841</v>
      </c>
      <c r="C11660" t="s">
        <v>432</v>
      </c>
      <c r="D11660" t="s">
        <v>6168</v>
      </c>
    </row>
    <row r="11661" spans="1:4">
      <c r="A11661" t="s">
        <v>16484</v>
      </c>
      <c r="B11661">
        <v>22842</v>
      </c>
      <c r="C11661" t="s">
        <v>6201</v>
      </c>
      <c r="D11661" t="s">
        <v>6168</v>
      </c>
    </row>
    <row r="11662" spans="1:4">
      <c r="A11662" t="s">
        <v>16485</v>
      </c>
      <c r="B11662">
        <v>22843</v>
      </c>
      <c r="C11662" t="s">
        <v>12205</v>
      </c>
      <c r="D11662" t="s">
        <v>6168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16486</v>
      </c>
      <c r="B11665">
        <v>25953</v>
      </c>
      <c r="C11665" t="s">
        <v>16487</v>
      </c>
      <c r="D11665" t="s">
        <v>6168</v>
      </c>
    </row>
    <row r="11666" spans="1:4">
      <c r="A11666" t="s">
        <v>16488</v>
      </c>
      <c r="B11666">
        <v>20621</v>
      </c>
      <c r="C11666" t="s">
        <v>3585</v>
      </c>
      <c r="D11666" t="s">
        <v>6168</v>
      </c>
    </row>
    <row r="11667" spans="1:4">
      <c r="A11667" t="s">
        <v>16489</v>
      </c>
      <c r="B11667">
        <v>25952</v>
      </c>
      <c r="D11667" t="s">
        <v>6168</v>
      </c>
    </row>
    <row r="11668" spans="1:4">
      <c r="A11668" t="s">
        <v>16490</v>
      </c>
      <c r="B11668">
        <v>25951</v>
      </c>
      <c r="D11668" t="s">
        <v>6168</v>
      </c>
    </row>
    <row r="11669" spans="1:4">
      <c r="A11669" t="s">
        <v>17084</v>
      </c>
      <c r="B11669">
        <v>44342</v>
      </c>
      <c r="C11669" t="s">
        <v>17085</v>
      </c>
      <c r="D11669" t="s">
        <v>123</v>
      </c>
    </row>
    <row r="11670" spans="1:4">
      <c r="A11670" t="s">
        <v>17136</v>
      </c>
      <c r="B11670">
        <v>44394</v>
      </c>
      <c r="C11670" t="s">
        <v>17137</v>
      </c>
      <c r="D11670" t="s">
        <v>6168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16491</v>
      </c>
      <c r="B11672">
        <v>40404</v>
      </c>
      <c r="C11672" t="s">
        <v>16492</v>
      </c>
      <c r="D11672" t="s">
        <v>6168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16493</v>
      </c>
      <c r="B11674">
        <v>24326</v>
      </c>
      <c r="C11674" t="s">
        <v>1325</v>
      </c>
      <c r="D11674" t="s">
        <v>6168</v>
      </c>
    </row>
    <row r="11675" spans="1:4">
      <c r="A11675" t="s">
        <v>16494</v>
      </c>
      <c r="B11675">
        <v>30122</v>
      </c>
      <c r="C11675" t="s">
        <v>10929</v>
      </c>
      <c r="D11675" t="s">
        <v>6168</v>
      </c>
    </row>
    <row r="11676" spans="1:4">
      <c r="A11676" t="s">
        <v>16495</v>
      </c>
      <c r="B11676">
        <v>24327</v>
      </c>
      <c r="C11676" t="s">
        <v>6974</v>
      </c>
      <c r="D11676" t="s">
        <v>6168</v>
      </c>
    </row>
    <row r="11677" spans="1:4">
      <c r="A11677" t="s">
        <v>16496</v>
      </c>
      <c r="B11677">
        <v>24328</v>
      </c>
      <c r="C11677" t="s">
        <v>16497</v>
      </c>
      <c r="D11677" t="s">
        <v>6168</v>
      </c>
    </row>
    <row r="11678" spans="1:4">
      <c r="A11678" t="s">
        <v>16498</v>
      </c>
      <c r="B11678">
        <v>30120</v>
      </c>
      <c r="C11678" t="s">
        <v>16499</v>
      </c>
      <c r="D11678" t="s">
        <v>6168</v>
      </c>
    </row>
    <row r="11679" spans="1:4">
      <c r="A11679" t="s">
        <v>16500</v>
      </c>
      <c r="B11679">
        <v>24329</v>
      </c>
      <c r="C11679" t="s">
        <v>1390</v>
      </c>
      <c r="D11679" t="s">
        <v>6168</v>
      </c>
    </row>
    <row r="11680" spans="1:4">
      <c r="A11680" t="s">
        <v>16501</v>
      </c>
      <c r="B11680">
        <v>24330</v>
      </c>
      <c r="C11680" t="s">
        <v>16502</v>
      </c>
      <c r="D11680" t="s">
        <v>6168</v>
      </c>
    </row>
    <row r="11681" spans="1:4">
      <c r="A11681" t="s">
        <v>16503</v>
      </c>
      <c r="B11681">
        <v>24331</v>
      </c>
      <c r="C11681" t="s">
        <v>6625</v>
      </c>
      <c r="D11681" t="s">
        <v>6168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16504</v>
      </c>
      <c r="B11684">
        <v>29160</v>
      </c>
      <c r="C11684" t="s">
        <v>6390</v>
      </c>
      <c r="D11684" t="s">
        <v>6168</v>
      </c>
    </row>
    <row r="11685" spans="1:4">
      <c r="A11685" t="s">
        <v>16505</v>
      </c>
      <c r="B11685">
        <v>29159</v>
      </c>
      <c r="C11685" t="s">
        <v>10332</v>
      </c>
      <c r="D11685" t="s">
        <v>6168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16506</v>
      </c>
      <c r="B11687">
        <v>3015</v>
      </c>
      <c r="C11687" t="s">
        <v>9020</v>
      </c>
      <c r="D11687" t="s">
        <v>6168</v>
      </c>
    </row>
    <row r="11688" spans="1:4">
      <c r="A11688" t="s">
        <v>17496</v>
      </c>
      <c r="B11688">
        <v>45895</v>
      </c>
      <c r="C11688" t="s">
        <v>17497</v>
      </c>
      <c r="D11688" t="s">
        <v>6168</v>
      </c>
    </row>
    <row r="11689" spans="1:4">
      <c r="A11689" t="s">
        <v>16507</v>
      </c>
      <c r="B11689">
        <v>3016</v>
      </c>
      <c r="C11689" t="s">
        <v>9020</v>
      </c>
      <c r="D11689" t="s">
        <v>6168</v>
      </c>
    </row>
    <row r="11690" spans="1:4">
      <c r="A11690" t="s">
        <v>16508</v>
      </c>
      <c r="B11690">
        <v>19297</v>
      </c>
      <c r="D11690" t="s">
        <v>6168</v>
      </c>
    </row>
    <row r="11691" spans="1:4">
      <c r="A11691" t="s">
        <v>16509</v>
      </c>
      <c r="B11691">
        <v>31512</v>
      </c>
      <c r="C11691" t="s">
        <v>16510</v>
      </c>
      <c r="D11691" t="s">
        <v>6168</v>
      </c>
    </row>
    <row r="11692" spans="1:4">
      <c r="A11692" t="s">
        <v>16511</v>
      </c>
      <c r="B11692">
        <v>39638</v>
      </c>
      <c r="C11692" t="s">
        <v>10124</v>
      </c>
      <c r="D11692" t="s">
        <v>6243</v>
      </c>
    </row>
    <row r="11693" spans="1:4">
      <c r="A11693" t="s">
        <v>16512</v>
      </c>
      <c r="B11693">
        <v>23364</v>
      </c>
      <c r="C11693" t="s">
        <v>10126</v>
      </c>
      <c r="D11693" t="s">
        <v>6245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16513</v>
      </c>
      <c r="B11695">
        <v>23270</v>
      </c>
      <c r="C11695" t="s">
        <v>5440</v>
      </c>
      <c r="D11695" t="s">
        <v>6230</v>
      </c>
    </row>
    <row r="11696" spans="1:4">
      <c r="A11696" t="s">
        <v>16514</v>
      </c>
      <c r="B11696">
        <v>22844</v>
      </c>
      <c r="C11696" t="s">
        <v>16515</v>
      </c>
      <c r="D11696" t="s">
        <v>6314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16516</v>
      </c>
      <c r="B11698">
        <v>41723</v>
      </c>
      <c r="C11698" t="s">
        <v>16517</v>
      </c>
      <c r="D11698" t="s">
        <v>6168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16518</v>
      </c>
      <c r="B11700">
        <v>3295</v>
      </c>
      <c r="C11700" t="s">
        <v>12185</v>
      </c>
      <c r="D11700" t="s">
        <v>6168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16519</v>
      </c>
      <c r="B11702">
        <v>39830</v>
      </c>
      <c r="C11702" t="s">
        <v>5104</v>
      </c>
      <c r="D11702" t="s">
        <v>6267</v>
      </c>
    </row>
    <row r="11703" spans="1:4">
      <c r="A11703" t="s">
        <v>16520</v>
      </c>
      <c r="B11703">
        <v>23137</v>
      </c>
      <c r="C11703" t="s">
        <v>426</v>
      </c>
      <c r="D11703" t="s">
        <v>6305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16521</v>
      </c>
      <c r="B11705">
        <v>24919</v>
      </c>
      <c r="C11705" t="s">
        <v>2946</v>
      </c>
      <c r="D11705" t="s">
        <v>6168</v>
      </c>
    </row>
    <row r="11706" spans="1:4">
      <c r="A11706" t="s">
        <v>16522</v>
      </c>
      <c r="B11706">
        <v>23974</v>
      </c>
      <c r="D11706" t="s">
        <v>6267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16523</v>
      </c>
      <c r="B11708">
        <v>19325</v>
      </c>
      <c r="C11708" t="s">
        <v>16524</v>
      </c>
      <c r="D11708" t="s">
        <v>6168</v>
      </c>
    </row>
    <row r="11709" spans="1:4">
      <c r="A11709" t="s">
        <v>16525</v>
      </c>
      <c r="B11709">
        <v>19315</v>
      </c>
      <c r="C11709" t="s">
        <v>16526</v>
      </c>
      <c r="D11709" t="s">
        <v>6168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16527</v>
      </c>
      <c r="B11711">
        <v>4410</v>
      </c>
      <c r="C11711" t="s">
        <v>4950</v>
      </c>
      <c r="D11711" t="s">
        <v>6168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16528</v>
      </c>
      <c r="B11713">
        <v>2744</v>
      </c>
      <c r="C11713" t="s">
        <v>16529</v>
      </c>
      <c r="D11713" t="s">
        <v>6168</v>
      </c>
    </row>
    <row r="11714" spans="1:4">
      <c r="A11714" t="s">
        <v>16530</v>
      </c>
      <c r="B11714">
        <v>2745</v>
      </c>
      <c r="C11714" t="s">
        <v>16531</v>
      </c>
      <c r="D11714" t="s">
        <v>6168</v>
      </c>
    </row>
    <row r="11715" spans="1:4">
      <c r="A11715" t="s">
        <v>16532</v>
      </c>
      <c r="B11715">
        <v>2746</v>
      </c>
      <c r="C11715" t="s">
        <v>16531</v>
      </c>
      <c r="D11715" t="s">
        <v>6168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16533</v>
      </c>
      <c r="B11717">
        <v>23120</v>
      </c>
      <c r="C11717" t="s">
        <v>16534</v>
      </c>
      <c r="D11717" t="s">
        <v>6267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16535</v>
      </c>
      <c r="B11719">
        <v>22845</v>
      </c>
      <c r="C11719" t="s">
        <v>16536</v>
      </c>
      <c r="D11719" t="s">
        <v>6314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16537</v>
      </c>
      <c r="B11721">
        <v>4185</v>
      </c>
      <c r="C11721" t="s">
        <v>703</v>
      </c>
      <c r="D11721" t="s">
        <v>6245</v>
      </c>
    </row>
    <row r="11722" spans="1:4">
      <c r="A11722" t="s">
        <v>16538</v>
      </c>
      <c r="B11722">
        <v>22846</v>
      </c>
      <c r="C11722" t="s">
        <v>264</v>
      </c>
      <c r="D11722" t="s">
        <v>6314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16539</v>
      </c>
      <c r="B11724">
        <v>23975</v>
      </c>
      <c r="C11724" t="s">
        <v>6558</v>
      </c>
      <c r="D11724" t="s">
        <v>6168</v>
      </c>
    </row>
    <row r="11725" spans="1:4">
      <c r="A11725" t="s">
        <v>16540</v>
      </c>
      <c r="B11725">
        <v>33893</v>
      </c>
      <c r="C11725" t="s">
        <v>6558</v>
      </c>
      <c r="D11725" t="s">
        <v>6168</v>
      </c>
    </row>
    <row r="11726" spans="1:4">
      <c r="A11726" t="s">
        <v>16541</v>
      </c>
      <c r="B11726">
        <v>33815</v>
      </c>
      <c r="C11726" t="s">
        <v>4950</v>
      </c>
      <c r="D11726" t="s">
        <v>6168</v>
      </c>
    </row>
    <row r="11727" spans="1:4">
      <c r="A11727" t="s">
        <v>16542</v>
      </c>
      <c r="B11727">
        <v>35615</v>
      </c>
      <c r="C11727" t="s">
        <v>16543</v>
      </c>
      <c r="D11727" t="s">
        <v>6168</v>
      </c>
    </row>
    <row r="11728" spans="1:4">
      <c r="A11728" t="s">
        <v>16544</v>
      </c>
      <c r="B11728">
        <v>29686</v>
      </c>
      <c r="C11728" t="s">
        <v>16545</v>
      </c>
      <c r="D11728" t="s">
        <v>6168</v>
      </c>
    </row>
    <row r="11729" spans="1:4">
      <c r="A11729" t="s">
        <v>16546</v>
      </c>
      <c r="B11729">
        <v>23976</v>
      </c>
      <c r="C11729" t="s">
        <v>7029</v>
      </c>
      <c r="D11729" t="s">
        <v>6168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16547</v>
      </c>
      <c r="B11731">
        <v>23501</v>
      </c>
      <c r="C11731" t="s">
        <v>1273</v>
      </c>
      <c r="D11731" t="s">
        <v>6168</v>
      </c>
    </row>
    <row r="11732" spans="1:4">
      <c r="A11732" t="s">
        <v>16548</v>
      </c>
      <c r="B11732">
        <v>4593</v>
      </c>
      <c r="C11732" t="s">
        <v>1273</v>
      </c>
      <c r="D11732" t="s">
        <v>6168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16549</v>
      </c>
      <c r="B11735">
        <v>30843</v>
      </c>
      <c r="C11735" t="s">
        <v>6546</v>
      </c>
      <c r="D11735" t="s">
        <v>6168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16550</v>
      </c>
      <c r="B11737">
        <v>22848</v>
      </c>
      <c r="C11737" t="s">
        <v>264</v>
      </c>
      <c r="D11737" t="s">
        <v>6314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16551</v>
      </c>
      <c r="B11740">
        <v>35248</v>
      </c>
      <c r="C11740" t="s">
        <v>9974</v>
      </c>
      <c r="D11740" t="s">
        <v>6168</v>
      </c>
    </row>
    <row r="11741" spans="1:4">
      <c r="A11741" t="s">
        <v>16552</v>
      </c>
      <c r="B11741">
        <v>35249</v>
      </c>
      <c r="C11741" t="s">
        <v>11052</v>
      </c>
      <c r="D11741" t="s">
        <v>6168</v>
      </c>
    </row>
    <row r="11742" spans="1:4">
      <c r="A11742" t="s">
        <v>16553</v>
      </c>
      <c r="B11742">
        <v>23977</v>
      </c>
      <c r="C11742" t="s">
        <v>16554</v>
      </c>
      <c r="D11742" t="s">
        <v>6168</v>
      </c>
    </row>
    <row r="11743" spans="1:4">
      <c r="A11743" t="s">
        <v>17365</v>
      </c>
      <c r="B11743">
        <v>45460</v>
      </c>
      <c r="C11743" t="s">
        <v>6077</v>
      </c>
      <c r="D11743" t="s">
        <v>6245</v>
      </c>
    </row>
    <row r="11744" spans="1:4">
      <c r="A11744" t="s">
        <v>16555</v>
      </c>
      <c r="B11744">
        <v>39769</v>
      </c>
      <c r="C11744" t="s">
        <v>16556</v>
      </c>
      <c r="D11744" t="s">
        <v>6241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16557</v>
      </c>
      <c r="B11746">
        <v>3664</v>
      </c>
      <c r="C11746" t="s">
        <v>2775</v>
      </c>
      <c r="D11746" t="s">
        <v>6168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16558</v>
      </c>
      <c r="B11748">
        <v>4405</v>
      </c>
      <c r="C11748" t="s">
        <v>5295</v>
      </c>
      <c r="D11748" t="s">
        <v>6230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16559</v>
      </c>
      <c r="B11750">
        <v>31161</v>
      </c>
      <c r="C11750" t="s">
        <v>16560</v>
      </c>
      <c r="D11750" t="s">
        <v>6168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16561</v>
      </c>
      <c r="B11752">
        <v>39618</v>
      </c>
      <c r="C11752" t="s">
        <v>3573</v>
      </c>
      <c r="D11752" t="s">
        <v>6230</v>
      </c>
    </row>
    <row r="11753" spans="1:4">
      <c r="A11753" t="s">
        <v>16562</v>
      </c>
      <c r="B11753">
        <v>40403</v>
      </c>
      <c r="C11753" t="s">
        <v>3573</v>
      </c>
      <c r="D11753" t="s">
        <v>6314</v>
      </c>
    </row>
    <row r="11754" spans="1:4">
      <c r="A11754" t="s">
        <v>16563</v>
      </c>
      <c r="B11754">
        <v>22849</v>
      </c>
      <c r="C11754" t="s">
        <v>16564</v>
      </c>
      <c r="D11754" t="s">
        <v>6243</v>
      </c>
    </row>
    <row r="11755" spans="1:4">
      <c r="A11755" t="s">
        <v>16565</v>
      </c>
      <c r="B11755">
        <v>43611</v>
      </c>
      <c r="C11755" t="s">
        <v>519</v>
      </c>
      <c r="D11755" t="s">
        <v>123</v>
      </c>
    </row>
    <row r="11756" spans="1:4">
      <c r="A11756" t="s">
        <v>16566</v>
      </c>
      <c r="B11756">
        <v>43624</v>
      </c>
      <c r="C11756" t="s">
        <v>6558</v>
      </c>
      <c r="D11756" t="s">
        <v>6168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16567</v>
      </c>
      <c r="B11758">
        <v>29654</v>
      </c>
      <c r="C11758" t="s">
        <v>519</v>
      </c>
      <c r="D11758" t="s">
        <v>6248</v>
      </c>
    </row>
    <row r="11759" spans="1:4">
      <c r="A11759" t="s">
        <v>16568</v>
      </c>
      <c r="B11759">
        <v>29797</v>
      </c>
      <c r="C11759" t="s">
        <v>16569</v>
      </c>
      <c r="D11759" t="s">
        <v>6168</v>
      </c>
    </row>
    <row r="11760" spans="1:4">
      <c r="A11760" t="s">
        <v>17173</v>
      </c>
      <c r="B11760">
        <v>44471</v>
      </c>
      <c r="C11760" t="s">
        <v>11422</v>
      </c>
      <c r="D11760" t="s">
        <v>6168</v>
      </c>
    </row>
    <row r="11761" spans="1:4">
      <c r="A11761" t="s">
        <v>16570</v>
      </c>
      <c r="B11761">
        <v>31035</v>
      </c>
      <c r="C11761" t="s">
        <v>16571</v>
      </c>
      <c r="D11761" t="s">
        <v>6168</v>
      </c>
    </row>
    <row r="11762" spans="1:4">
      <c r="A11762" t="s">
        <v>16572</v>
      </c>
      <c r="B11762">
        <v>40402</v>
      </c>
      <c r="C11762" t="s">
        <v>6558</v>
      </c>
      <c r="D11762" t="s">
        <v>6168</v>
      </c>
    </row>
    <row r="11763" spans="1:4">
      <c r="A11763" t="s">
        <v>16573</v>
      </c>
      <c r="B11763">
        <v>35645</v>
      </c>
      <c r="C11763" t="s">
        <v>16574</v>
      </c>
      <c r="D11763" t="s">
        <v>6168</v>
      </c>
    </row>
    <row r="11764" spans="1:4">
      <c r="A11764" t="s">
        <v>16575</v>
      </c>
      <c r="B11764">
        <v>40401</v>
      </c>
      <c r="C11764" t="s">
        <v>16576</v>
      </c>
      <c r="D11764" t="s">
        <v>6168</v>
      </c>
    </row>
    <row r="11765" spans="1:4">
      <c r="A11765" t="s">
        <v>16577</v>
      </c>
      <c r="B11765">
        <v>35296</v>
      </c>
      <c r="C11765" t="s">
        <v>16578</v>
      </c>
      <c r="D11765" t="s">
        <v>6168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16579</v>
      </c>
      <c r="B11767">
        <v>25379</v>
      </c>
      <c r="C11767" t="s">
        <v>6394</v>
      </c>
      <c r="D11767" t="s">
        <v>6168</v>
      </c>
    </row>
    <row r="11768" spans="1:4">
      <c r="A11768" t="s">
        <v>16580</v>
      </c>
      <c r="B11768">
        <v>33891</v>
      </c>
      <c r="C11768" t="s">
        <v>16581</v>
      </c>
      <c r="D11768" t="s">
        <v>6168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16582</v>
      </c>
      <c r="B11771">
        <v>35299</v>
      </c>
      <c r="C11771" t="s">
        <v>16583</v>
      </c>
      <c r="D11771" t="s">
        <v>6168</v>
      </c>
    </row>
    <row r="11772" spans="1:4">
      <c r="A11772" t="s">
        <v>16584</v>
      </c>
      <c r="B11772">
        <v>29158</v>
      </c>
      <c r="C11772" t="s">
        <v>16585</v>
      </c>
      <c r="D11772" t="s">
        <v>6168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16586</v>
      </c>
      <c r="B11775">
        <v>3013</v>
      </c>
      <c r="C11775" t="s">
        <v>6864</v>
      </c>
      <c r="D11775" t="s">
        <v>6168</v>
      </c>
    </row>
    <row r="11776" spans="1:4">
      <c r="A11776" t="s">
        <v>16587</v>
      </c>
      <c r="B11776">
        <v>3014</v>
      </c>
      <c r="C11776" t="s">
        <v>4950</v>
      </c>
      <c r="D11776" t="s">
        <v>6168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16588</v>
      </c>
      <c r="B11778">
        <v>22851</v>
      </c>
      <c r="C11778" t="s">
        <v>15588</v>
      </c>
      <c r="D11778" t="s">
        <v>6168</v>
      </c>
    </row>
    <row r="11779" spans="1:4">
      <c r="A11779" t="s">
        <v>16589</v>
      </c>
      <c r="B11779">
        <v>22852</v>
      </c>
      <c r="C11779" t="s">
        <v>16590</v>
      </c>
      <c r="D11779" t="s">
        <v>6168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16591</v>
      </c>
      <c r="B11781">
        <v>22854</v>
      </c>
      <c r="C11781" t="s">
        <v>16592</v>
      </c>
      <c r="D11781" t="s">
        <v>6168</v>
      </c>
    </row>
    <row r="11782" spans="1:4">
      <c r="A11782" t="s">
        <v>17420</v>
      </c>
      <c r="B11782">
        <v>45510</v>
      </c>
      <c r="C11782" t="s">
        <v>17421</v>
      </c>
      <c r="D11782" t="s">
        <v>123</v>
      </c>
    </row>
    <row r="11783" spans="1:4">
      <c r="A11783" t="s">
        <v>17486</v>
      </c>
      <c r="B11783">
        <v>45774</v>
      </c>
      <c r="C11783" t="s">
        <v>754</v>
      </c>
      <c r="D11783" t="s">
        <v>6168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16593</v>
      </c>
      <c r="B11785">
        <v>22856</v>
      </c>
      <c r="C11785" t="s">
        <v>16594</v>
      </c>
      <c r="D11785" t="s">
        <v>6168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17487</v>
      </c>
      <c r="B11787">
        <v>45775</v>
      </c>
      <c r="C11787" t="s">
        <v>17488</v>
      </c>
      <c r="D11787" t="s">
        <v>6168</v>
      </c>
    </row>
    <row r="11788" spans="1:4">
      <c r="A11788" t="s">
        <v>16595</v>
      </c>
      <c r="B11788">
        <v>31264</v>
      </c>
      <c r="C11788" t="s">
        <v>16596</v>
      </c>
      <c r="D11788" t="s">
        <v>6168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16597</v>
      </c>
      <c r="B11791">
        <v>22857</v>
      </c>
      <c r="C11791" t="s">
        <v>16598</v>
      </c>
      <c r="D11791" t="s">
        <v>6168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16599</v>
      </c>
      <c r="B11793">
        <v>23978</v>
      </c>
      <c r="C11793" t="s">
        <v>9010</v>
      </c>
      <c r="D11793" t="s">
        <v>6168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16600</v>
      </c>
      <c r="B11795">
        <v>35620</v>
      </c>
      <c r="C11795" t="s">
        <v>16601</v>
      </c>
      <c r="D11795" t="s">
        <v>6168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17366</v>
      </c>
      <c r="B11797">
        <v>45462</v>
      </c>
      <c r="C11797" t="s">
        <v>6974</v>
      </c>
      <c r="D11797" t="s">
        <v>6168</v>
      </c>
    </row>
    <row r="11798" spans="1:4">
      <c r="A11798" t="s">
        <v>16602</v>
      </c>
      <c r="B11798">
        <v>30669</v>
      </c>
      <c r="C11798" t="s">
        <v>7410</v>
      </c>
      <c r="D11798" t="s">
        <v>6168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16603</v>
      </c>
      <c r="B11803">
        <v>2296</v>
      </c>
      <c r="C11803" t="s">
        <v>16604</v>
      </c>
      <c r="D11803" t="s">
        <v>6168</v>
      </c>
    </row>
    <row r="11804" spans="1:4">
      <c r="A11804" t="s">
        <v>16605</v>
      </c>
      <c r="B11804">
        <v>2297</v>
      </c>
      <c r="C11804" t="s">
        <v>6399</v>
      </c>
      <c r="D11804" t="s">
        <v>6168</v>
      </c>
    </row>
    <row r="11805" spans="1:4">
      <c r="A11805" t="s">
        <v>16606</v>
      </c>
      <c r="B11805">
        <v>2298</v>
      </c>
      <c r="C11805" t="s">
        <v>16607</v>
      </c>
      <c r="D11805" t="s">
        <v>6168</v>
      </c>
    </row>
    <row r="11806" spans="1:4">
      <c r="A11806" t="s">
        <v>16608</v>
      </c>
      <c r="B11806">
        <v>2299</v>
      </c>
      <c r="C11806" t="s">
        <v>16687</v>
      </c>
      <c r="D11806" t="s">
        <v>6168</v>
      </c>
    </row>
    <row r="11807" spans="1:4">
      <c r="A11807" t="s">
        <v>16609</v>
      </c>
      <c r="B11807">
        <v>2300</v>
      </c>
      <c r="C11807" t="s">
        <v>1820</v>
      </c>
      <c r="D11807" t="s">
        <v>6168</v>
      </c>
    </row>
    <row r="11808" spans="1:4">
      <c r="A11808" t="s">
        <v>16610</v>
      </c>
      <c r="B11808">
        <v>2301</v>
      </c>
      <c r="C11808" t="s">
        <v>1475</v>
      </c>
      <c r="D11808" t="s">
        <v>6168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16611</v>
      </c>
      <c r="B11810">
        <v>29782</v>
      </c>
      <c r="C11810" t="s">
        <v>11269</v>
      </c>
      <c r="D11810" t="s">
        <v>6168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16612</v>
      </c>
      <c r="B11812">
        <v>39607</v>
      </c>
      <c r="C11812" t="s">
        <v>2659</v>
      </c>
      <c r="D11812" t="s">
        <v>6267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16927</v>
      </c>
      <c r="B11814">
        <v>43995</v>
      </c>
      <c r="C11814" t="s">
        <v>16928</v>
      </c>
      <c r="D11814" t="s">
        <v>6168</v>
      </c>
    </row>
    <row r="11815" spans="1:4">
      <c r="A11815" t="s">
        <v>16613</v>
      </c>
      <c r="B11815">
        <v>25291</v>
      </c>
      <c r="C11815" t="s">
        <v>13779</v>
      </c>
      <c r="D11815" t="s">
        <v>6168</v>
      </c>
    </row>
    <row r="11816" spans="1:4">
      <c r="A11816" t="s">
        <v>16614</v>
      </c>
      <c r="B11816">
        <v>35100</v>
      </c>
      <c r="C11816" t="s">
        <v>6583</v>
      </c>
      <c r="D11816" t="s">
        <v>6168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16615</v>
      </c>
      <c r="B11819">
        <v>24478</v>
      </c>
      <c r="C11819" t="s">
        <v>2659</v>
      </c>
      <c r="D11819" t="s">
        <v>6314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16616</v>
      </c>
      <c r="B11821">
        <v>179</v>
      </c>
      <c r="C11821" t="s">
        <v>16617</v>
      </c>
      <c r="D11821" t="s">
        <v>6168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16618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16619</v>
      </c>
      <c r="B11828">
        <v>22211</v>
      </c>
      <c r="C11828" t="s">
        <v>16620</v>
      </c>
      <c r="D11828" t="s">
        <v>6168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16621</v>
      </c>
      <c r="B11830">
        <v>22213</v>
      </c>
      <c r="C11830" t="s">
        <v>524</v>
      </c>
      <c r="D11830" t="s">
        <v>6314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16622</v>
      </c>
      <c r="B11832">
        <v>25531</v>
      </c>
      <c r="C11832" t="s">
        <v>16623</v>
      </c>
      <c r="D11832" t="s">
        <v>6168</v>
      </c>
    </row>
    <row r="11833" spans="1:4">
      <c r="A11833" t="s">
        <v>16624</v>
      </c>
      <c r="B11833">
        <v>25380</v>
      </c>
      <c r="C11833" t="s">
        <v>16625</v>
      </c>
      <c r="D11833" t="s">
        <v>6267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16626</v>
      </c>
      <c r="B11835">
        <v>41809</v>
      </c>
      <c r="C11835" t="s">
        <v>16627</v>
      </c>
      <c r="D11835" t="s">
        <v>6168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16628</v>
      </c>
      <c r="B11837">
        <v>36116</v>
      </c>
      <c r="C11837" t="s">
        <v>10729</v>
      </c>
      <c r="D11837" t="s">
        <v>6168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16981</v>
      </c>
      <c r="B11839">
        <v>44045</v>
      </c>
      <c r="C11839" t="s">
        <v>10607</v>
      </c>
      <c r="D11839" t="s">
        <v>123</v>
      </c>
    </row>
    <row r="11840" spans="1:4">
      <c r="A11840" t="s">
        <v>17489</v>
      </c>
      <c r="B11840">
        <v>45776</v>
      </c>
      <c r="C11840" t="s">
        <v>17490</v>
      </c>
      <c r="D11840" t="s">
        <v>6168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16629</v>
      </c>
      <c r="B11844">
        <v>20520</v>
      </c>
      <c r="C11844" t="s">
        <v>16630</v>
      </c>
      <c r="D11844" t="s">
        <v>6168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16631</v>
      </c>
      <c r="B11846">
        <v>20522</v>
      </c>
      <c r="C11846" t="s">
        <v>16632</v>
      </c>
      <c r="D11846" t="s">
        <v>6168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16633</v>
      </c>
      <c r="B11848">
        <v>23158</v>
      </c>
      <c r="C11848" t="s">
        <v>4162</v>
      </c>
      <c r="D11848" t="s">
        <v>6267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16634</v>
      </c>
      <c r="B11853">
        <v>531</v>
      </c>
      <c r="C11853" t="s">
        <v>16635</v>
      </c>
      <c r="D11853" t="s">
        <v>6168</v>
      </c>
    </row>
    <row r="11854" spans="1:4">
      <c r="A11854" t="s">
        <v>16636</v>
      </c>
      <c r="B11854">
        <v>2427</v>
      </c>
      <c r="C11854" t="s">
        <v>7610</v>
      </c>
      <c r="D11854" t="s">
        <v>6449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16637</v>
      </c>
      <c r="B11859">
        <v>4458</v>
      </c>
      <c r="C11859" t="s">
        <v>16638</v>
      </c>
      <c r="D11859" t="s">
        <v>6168</v>
      </c>
    </row>
    <row r="11860" spans="1:4">
      <c r="A11860" t="s">
        <v>16639</v>
      </c>
      <c r="B11860">
        <v>4459</v>
      </c>
      <c r="C11860" t="s">
        <v>10446</v>
      </c>
      <c r="D11860" t="s">
        <v>6168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16640</v>
      </c>
      <c r="B11867">
        <v>22216</v>
      </c>
      <c r="C11867" t="s">
        <v>16641</v>
      </c>
      <c r="D11867" t="s">
        <v>6168</v>
      </c>
    </row>
    <row r="11868" spans="1:4">
      <c r="A11868" t="s">
        <v>16642</v>
      </c>
      <c r="B11868">
        <v>22217</v>
      </c>
      <c r="C11868" t="s">
        <v>16643</v>
      </c>
      <c r="D11868" t="s">
        <v>6168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16644</v>
      </c>
      <c r="B11870">
        <v>34089</v>
      </c>
      <c r="C11870" t="s">
        <v>2507</v>
      </c>
      <c r="D11870" t="s">
        <v>6248</v>
      </c>
    </row>
    <row r="11871" spans="1:4">
      <c r="A11871" t="s">
        <v>16645</v>
      </c>
      <c r="B11871">
        <v>25436</v>
      </c>
      <c r="C11871" t="s">
        <v>16646</v>
      </c>
      <c r="D11871" t="s">
        <v>6168</v>
      </c>
    </row>
    <row r="11872" spans="1:4">
      <c r="A11872" t="s">
        <v>16647</v>
      </c>
      <c r="B11872">
        <v>39034</v>
      </c>
      <c r="C11872" t="s">
        <v>16648</v>
      </c>
      <c r="D11872" t="s">
        <v>6245</v>
      </c>
    </row>
    <row r="11873" spans="1:4">
      <c r="A11873" t="s">
        <v>17583</v>
      </c>
      <c r="B11873">
        <v>46855</v>
      </c>
      <c r="C11873" t="s">
        <v>264</v>
      </c>
      <c r="D11873" t="s">
        <v>134</v>
      </c>
    </row>
    <row r="11874" spans="1:4">
      <c r="A11874" t="s">
        <v>16649</v>
      </c>
      <c r="B11874">
        <v>29570</v>
      </c>
      <c r="D11874" t="s">
        <v>6245</v>
      </c>
    </row>
    <row r="11875" spans="1:4">
      <c r="A11875" t="s">
        <v>17587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16650</v>
      </c>
      <c r="B11877">
        <v>22219</v>
      </c>
      <c r="C11877" t="s">
        <v>781</v>
      </c>
      <c r="D11877" t="s">
        <v>6168</v>
      </c>
    </row>
    <row r="11878" spans="1:4">
      <c r="A11878" t="s">
        <v>16651</v>
      </c>
      <c r="B11878">
        <v>22220</v>
      </c>
      <c r="C11878" t="s">
        <v>781</v>
      </c>
      <c r="D11878" t="s">
        <v>6168</v>
      </c>
    </row>
    <row r="11879" spans="1:4">
      <c r="A11879" t="s">
        <v>16652</v>
      </c>
      <c r="B11879">
        <v>26028</v>
      </c>
      <c r="C11879" t="s">
        <v>10004</v>
      </c>
      <c r="D11879" t="s">
        <v>6267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16929</v>
      </c>
      <c r="B11881">
        <v>43996</v>
      </c>
      <c r="C11881" t="s">
        <v>16930</v>
      </c>
      <c r="D11881" t="s">
        <v>123</v>
      </c>
    </row>
    <row r="11882" spans="1:4">
      <c r="A11882" t="s">
        <v>16653</v>
      </c>
      <c r="B11882">
        <v>32575</v>
      </c>
      <c r="C11882" t="s">
        <v>16654</v>
      </c>
      <c r="D11882" t="s">
        <v>6168</v>
      </c>
    </row>
    <row r="11883" spans="1:4">
      <c r="A11883" t="s">
        <v>16789</v>
      </c>
      <c r="B11883">
        <v>43348</v>
      </c>
      <c r="C11883" t="s">
        <v>746</v>
      </c>
      <c r="D11883" t="s">
        <v>123</v>
      </c>
    </row>
    <row r="11884" spans="1:4">
      <c r="A11884" t="s">
        <v>16655</v>
      </c>
      <c r="B11884">
        <v>9785</v>
      </c>
      <c r="C11884" t="s">
        <v>16656</v>
      </c>
      <c r="D11884" t="s">
        <v>6230</v>
      </c>
    </row>
    <row r="11885" spans="1:4">
      <c r="A11885" t="s">
        <v>16657</v>
      </c>
      <c r="B11885">
        <v>22221</v>
      </c>
      <c r="D11885" t="s">
        <v>6305</v>
      </c>
    </row>
    <row r="11886" spans="1:4">
      <c r="A11886" t="s">
        <v>16699</v>
      </c>
      <c r="B11886">
        <v>39798</v>
      </c>
      <c r="D11886" t="s">
        <v>6245</v>
      </c>
    </row>
    <row r="11887" spans="1:4">
      <c r="A11887" t="s">
        <v>16936</v>
      </c>
      <c r="B11887">
        <v>44000</v>
      </c>
      <c r="D11887" t="s">
        <v>8049</v>
      </c>
    </row>
    <row r="11888" spans="1:4">
      <c r="A11888" t="s">
        <v>16700</v>
      </c>
      <c r="B11888">
        <v>39835</v>
      </c>
      <c r="D11888" t="s">
        <v>6245</v>
      </c>
    </row>
    <row r="11889" spans="1:4">
      <c r="A11889" t="s">
        <v>16698</v>
      </c>
      <c r="B11889">
        <v>39549</v>
      </c>
      <c r="D11889" t="s">
        <v>6322</v>
      </c>
    </row>
  </sheetData>
  <sheetProtection algorithmName="SHA-512" hashValue="NIe1uvdXPdn/mFRIZ8k+TlloVAkc766Ta9m6yKzmFRisRf7taKzrxOox+Is6nu7nhqZvpgL++JWdCtkUPj8VOg==" saltValue="1pGj7WvEM8/96ItzQkWIiw==" spinCount="100000" sheet="1" objects="1" scenarios="1"/>
  <sortState ref="A2:E11889">
    <sortCondition ref="A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31" sqref="H31"/>
    </sheetView>
  </sheetViews>
  <sheetFormatPr baseColWidth="10" defaultRowHeight="15"/>
  <cols>
    <col min="8" max="8" width="82.85546875" customWidth="1"/>
  </cols>
  <sheetData>
    <row r="1" spans="1:10">
      <c r="A1" s="122" t="s">
        <v>17590</v>
      </c>
      <c r="B1" s="123" t="s">
        <v>17591</v>
      </c>
      <c r="C1" s="123" t="s">
        <v>17592</v>
      </c>
      <c r="D1" s="123" t="s">
        <v>17593</v>
      </c>
      <c r="E1" s="123" t="s">
        <v>17594</v>
      </c>
      <c r="F1" s="123" t="s">
        <v>17595</v>
      </c>
      <c r="G1" s="123" t="s">
        <v>17596</v>
      </c>
      <c r="H1" s="124" t="s">
        <v>17597</v>
      </c>
      <c r="I1" s="123" t="s">
        <v>17598</v>
      </c>
      <c r="J1" s="125" t="s">
        <v>17599</v>
      </c>
    </row>
    <row r="2" spans="1:10">
      <c r="A2" s="126" t="s">
        <v>17600</v>
      </c>
      <c r="B2" s="127" t="s">
        <v>17601</v>
      </c>
      <c r="C2" s="127" t="s">
        <v>17602</v>
      </c>
      <c r="D2" s="128" t="s">
        <v>17603</v>
      </c>
      <c r="E2" s="127" t="s">
        <v>17604</v>
      </c>
      <c r="F2" s="129" t="s">
        <v>17605</v>
      </c>
      <c r="G2" s="130">
        <v>43010</v>
      </c>
      <c r="H2" s="131" t="s">
        <v>17606</v>
      </c>
      <c r="I2" s="127" t="s">
        <v>17607</v>
      </c>
      <c r="J2" s="132"/>
    </row>
    <row r="3" spans="1:10" ht="62.25" customHeight="1">
      <c r="A3" s="133" t="s">
        <v>17600</v>
      </c>
      <c r="B3" s="134" t="s">
        <v>17601</v>
      </c>
      <c r="C3" s="134" t="s">
        <v>17602</v>
      </c>
      <c r="D3" s="135" t="s">
        <v>17603</v>
      </c>
      <c r="E3" s="134" t="s">
        <v>17604</v>
      </c>
      <c r="F3" s="136" t="s">
        <v>17608</v>
      </c>
      <c r="G3" s="137">
        <v>43033</v>
      </c>
      <c r="H3" s="138" t="s">
        <v>17609</v>
      </c>
      <c r="I3" s="134" t="s">
        <v>17607</v>
      </c>
      <c r="J3" s="139"/>
    </row>
    <row r="4" spans="1:10" ht="61.5" customHeight="1">
      <c r="A4" s="126" t="s">
        <v>17600</v>
      </c>
      <c r="B4" s="127" t="s">
        <v>17601</v>
      </c>
      <c r="C4" s="127" t="s">
        <v>17602</v>
      </c>
      <c r="D4" s="128" t="s">
        <v>17603</v>
      </c>
      <c r="E4" s="127" t="s">
        <v>17604</v>
      </c>
      <c r="F4" s="129" t="s">
        <v>17610</v>
      </c>
      <c r="G4" s="130">
        <v>43059</v>
      </c>
      <c r="H4" s="131" t="s">
        <v>17611</v>
      </c>
      <c r="I4" s="127" t="s">
        <v>17607</v>
      </c>
      <c r="J4" s="140"/>
    </row>
    <row r="5" spans="1:10" ht="36.75" customHeight="1">
      <c r="A5" s="133" t="s">
        <v>17600</v>
      </c>
      <c r="B5" s="134" t="s">
        <v>17601</v>
      </c>
      <c r="C5" s="134" t="s">
        <v>17602</v>
      </c>
      <c r="D5" s="135" t="s">
        <v>17603</v>
      </c>
      <c r="E5" s="134" t="s">
        <v>17604</v>
      </c>
      <c r="F5" s="136" t="s">
        <v>17612</v>
      </c>
      <c r="G5" s="137">
        <v>43423</v>
      </c>
      <c r="H5" s="138" t="s">
        <v>17613</v>
      </c>
      <c r="I5" s="134" t="s">
        <v>17614</v>
      </c>
      <c r="J5" s="139"/>
    </row>
  </sheetData>
  <sheetProtection algorithmName="SHA-512" hashValue="m8hZgvJWzlyPuPTKGKJ8oBkU/GOQK0hfSqUaAxks5CK+Vme6xAs6Y8Y3XNmkelkcEfPZhN8CawDLbnZYZokkxQ==" saltValue="JB5S7BgkW5ZWj3HT3tV31w==" spinCount="100000" sheet="1" objects="1" scenarios="1"/>
  <dataValidations count="5">
    <dataValidation type="list" allowBlank="1" showInputMessage="1" showErrorMessage="1" sqref="I2:I5">
      <formula1>"en cours,archive"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B2:B5">
      <formula1>"CE,CE/GCE,CE/PE,GCE,PE"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28</vt:i4>
      </vt:variant>
    </vt:vector>
  </HeadingPairs>
  <TitlesOfParts>
    <vt:vector size="37" baseType="lpstr">
      <vt:lpstr>1- PR19EN01</vt:lpstr>
      <vt:lpstr>2-SAISIE-IRSTEA</vt:lpstr>
      <vt:lpstr>3-MO04-EN01-échantillonnage</vt:lpstr>
      <vt:lpstr>4-SoutienBio</vt:lpstr>
      <vt:lpstr>5-Station</vt:lpstr>
      <vt:lpstr>Listes_deroulantes</vt:lpstr>
      <vt:lpstr>cemagref</vt:lpstr>
      <vt:lpstr>Ref. Taxo. </vt:lpstr>
      <vt:lpstr>Mises à jour</vt:lpstr>
      <vt:lpstr>'1- PR19EN01'!Destinataires</vt:lpstr>
      <vt:lpstr>Listes_deroulantes!Destinataires</vt:lpstr>
      <vt:lpstr>'1- PR19EN01'!Heure</vt:lpstr>
      <vt:lpstr>Listes_deroulantes!Heure</vt:lpstr>
      <vt:lpstr>'3-MO04-EN01-échantillonnage'!l_taxon</vt:lpstr>
      <vt:lpstr>l_taxon</vt:lpstr>
      <vt:lpstr>Listes_deroulantes!localisation</vt:lpstr>
      <vt:lpstr>'3-MO04-EN01-échantillonnage'!p_taxon</vt:lpstr>
      <vt:lpstr>p_taxon</vt:lpstr>
      <vt:lpstr>plan</vt:lpstr>
      <vt:lpstr>'1- PR19EN01'!Print_Area</vt:lpstr>
      <vt:lpstr>'2-SAISIE-IRSTEA'!Print_Area</vt:lpstr>
      <vt:lpstr>'3-MO04-EN01-échantillonnage'!Print_Area</vt:lpstr>
      <vt:lpstr>'3-MO04-EN01-échantillonnage'!Ref.Taxo.</vt:lpstr>
      <vt:lpstr>Ref.Taxo.</vt:lpstr>
      <vt:lpstr>'1- PR19EN01'!Sites</vt:lpstr>
      <vt:lpstr>Listes_deroulantes!Sites</vt:lpstr>
      <vt:lpstr>'1- PR19EN01'!Station</vt:lpstr>
      <vt:lpstr>'3-MO04-EN01-échantillonnage'!Station</vt:lpstr>
      <vt:lpstr>cemagref!Station</vt:lpstr>
      <vt:lpstr>Listes_deroulantes!Station</vt:lpstr>
      <vt:lpstr>Station</vt:lpstr>
      <vt:lpstr>'1- PR19EN01'!tableau</vt:lpstr>
      <vt:lpstr>'3-MO04-EN01-échantillonnage'!tableau</vt:lpstr>
      <vt:lpstr>Listes_deroulantes!tableau</vt:lpstr>
      <vt:lpstr>tableau</vt:lpstr>
      <vt:lpstr>'1- PR19EN01'!Zone_d_impression</vt:lpstr>
      <vt:lpstr>'2-SAISIE-IRSTEA'!Zone_d_impression</vt:lpstr>
    </vt:vector>
  </TitlesOfParts>
  <Company>DREAL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Saisie invertebres version V6</dc:title>
  <dc:creator>ACHARD Julien</dc:creator>
  <cp:lastModifiedBy>COURT Elisabeth</cp:lastModifiedBy>
  <cp:lastPrinted>2022-02-17T12:25:08Z</cp:lastPrinted>
  <dcterms:created xsi:type="dcterms:W3CDTF">2017-07-18T09:44:10Z</dcterms:created>
  <dcterms:modified xsi:type="dcterms:W3CDTF">2022-02-17T15:44:17Z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