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OI StE" sheetId="1" state="visible" r:id="rId2"/>
  </sheets>
  <externalReferences>
    <externalReference r:id="rId3"/>
  </externalReferences>
  <definedNames>
    <definedName function="false" hidden="false" localSheetId="0" name="Excel_BuiltIn_Print_Area" vbProcedure="false">'LOI StE'!$A$1:$O$82</definedName>
    <definedName function="false" hidden="false" localSheetId="0" name="Excel_BuiltIn__FilterDatabase" vbProcedure="false">'LOI StE'!$A$23:$J$84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<sst xmlns="http://schemas.openxmlformats.org/spreadsheetml/2006/main" count="122" uniqueCount="117">
  <si>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</si>
  <si>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</si>
  <si>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</si>
  <si>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</si>
  <si>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</si>
  <si>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LOIRE</t>
  </si>
  <si>
    <t xml:space="preserve">St-Eulalie</t>
  </si>
  <si>
    <t xml:space="preserve">04000100</t>
  </si>
  <si>
    <t xml:space="preserve">RCS Auvergne</t>
  </si>
  <si>
    <t xml:space="preserve">Résultats</t>
  </si>
  <si>
    <t xml:space="preserve">F. courant</t>
  </si>
  <si>
    <t xml:space="preserve">F. lent</t>
  </si>
  <si>
    <t xml:space="preserve">station</t>
  </si>
  <si>
    <t xml:space="preserve">IBMR:</t>
  </si>
  <si>
    <t xml:space="preserve">Type de faciès</t>
  </si>
  <si>
    <t xml:space="preserve">pl. courant</t>
  </si>
  <si>
    <t xml:space="preserve">pl. lent</t>
  </si>
  <si>
    <t xml:space="preserve">niv. trophique:</t>
  </si>
  <si>
    <t xml:space="preserve">très 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</si>
  <si>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</si>
  <si>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</si>
  <si>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</si>
  <si>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</si>
  <si>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</si>
  <si>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</si>
  <si>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</si>
  <si>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</si>
  <si>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</si>
  <si>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</si>
  <si>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</si>
  <si>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</si>
  <si>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</si>
  <si>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</si>
  <si>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</si>
  <si>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</si>
  <si>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</si>
  <si>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</si>
  <si>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</si>
  <si>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</si>
  <si>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</si>
  <si>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</si>
  <si>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</si>
  <si>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</si>
  <si>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</si>
  <si>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</si>
  <si>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</si>
  <si>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</si>
  <si>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</si>
  <si>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</si>
  <si>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</si>
  <si>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</si>
  <si>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</si>
  <si>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</si>
  <si>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</si>
  <si>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</si>
  <si>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</si>
  <si>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</si>
  <si>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</si>
  <si>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</si>
  <si>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</si>
  <si>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</si>
  <si>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</si>
  <si>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</si>
  <si>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</si>
  <si>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</si>
  <si>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</si>
  <si>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</si>
  <si>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</si>
  <si>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</si>
  <si>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</si>
  <si>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</si>
  <si>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</si>
  <si>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</si>
  <si>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</si>
  <si>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HYU.SPX</t>
  </si>
  <si>
    <t xml:space="preserve">LEA.SPX</t>
  </si>
  <si>
    <t xml:space="preserve">MEL.SPX</t>
  </si>
  <si>
    <t xml:space="preserve">MIC.SPX</t>
  </si>
  <si>
    <t xml:space="preserve">NOS.SPX</t>
  </si>
  <si>
    <t xml:space="preserve">OED.SPX</t>
  </si>
  <si>
    <t xml:space="preserve">OSC.SPX</t>
  </si>
  <si>
    <t xml:space="preserve">PHO.SPX</t>
  </si>
  <si>
    <t xml:space="preserve">SPI.SPX</t>
  </si>
  <si>
    <t xml:space="preserve">DER.SPX</t>
  </si>
  <si>
    <t xml:space="preserve">COL.FLU</t>
  </si>
  <si>
    <t xml:space="preserve">MAC.POL</t>
  </si>
  <si>
    <t xml:space="preserve">AMB.FLU</t>
  </si>
  <si>
    <t xml:space="preserve">BRA.RIV</t>
  </si>
  <si>
    <t xml:space="preserve">BRY.PSE</t>
  </si>
  <si>
    <t xml:space="preserve">CHI.POL</t>
  </si>
  <si>
    <t xml:space="preserve">FON.ANT</t>
  </si>
  <si>
    <t xml:space="preserve">PHI.FON</t>
  </si>
  <si>
    <t xml:space="preserve">RHY.RIP</t>
  </si>
  <si>
    <t xml:space="preserve">SCA.UND</t>
  </si>
  <si>
    <t xml:space="preserve">SCS.RIV</t>
  </si>
  <si>
    <t xml:space="preserve">HYG.DUR</t>
  </si>
  <si>
    <t xml:space="preserve">NEW.COD</t>
  </si>
  <si>
    <t xml:space="preserve">Cf.</t>
  </si>
  <si>
    <t xml:space="preserve">Carex flava</t>
  </si>
  <si>
    <t xml:space="preserve">EQU.ARV</t>
  </si>
  <si>
    <t xml:space="preserve">GLY.FLU</t>
  </si>
  <si>
    <t xml:space="preserve">JUN.ACU</t>
  </si>
  <si>
    <t xml:space="preserve">JUN.EFF</t>
  </si>
  <si>
    <t xml:space="preserve">LOT.PED</t>
  </si>
  <si>
    <t xml:space="preserve">MEN.AQU</t>
  </si>
  <si>
    <t xml:space="preserve">MEN.LON</t>
  </si>
  <si>
    <t xml:space="preserve">Myosotis sylvatica</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</si>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</sst>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ND andelat"/>
      <sheetName val="AND StG"/>
      <sheetName val="LIG Tence"/>
      <sheetName val="LIG ST-M"/>
      <sheetName val="LIT"/>
      <sheetName val="LOI StE"/>
      <sheetName val="LOI Coubon"/>
      <sheetName val="LOI StV"/>
      <sheetName val="LOI Mal"/>
      <sheetName val="OEIL"/>
      <sheetName val="QUE"/>
      <sheetName val="RHUE"/>
      <sheetName val="ROU"/>
      <sheetName val="RuiETR"/>
      <sheetName val="SIO Montfermy"/>
      <sheetName val="SIO Lisseuil"/>
      <sheetName val="SIO Contigny"/>
      <sheetName val="SIT"/>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39253</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14.4375</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65</v>
      </c>
      <c r="C7" s="65" t="n">
        <v>35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13.0434782608696</v>
      </c>
      <c r="O8" s="82" t="n">
        <f aca="false">AVERAGE(J23:J82)</f>
        <v>1.8695652173913</v>
      </c>
      <c r="P8" s="8"/>
      <c r="Q8" s="8"/>
      <c r="R8" s="8"/>
      <c r="S8" s="8"/>
      <c r="T8" s="8"/>
      <c r="U8" s="8"/>
      <c r="V8" s="20"/>
      <c r="W8" s="21"/>
    </row>
    <row r="9" customFormat="false" ht="13.5" hidden="false" customHeight="false" outlineLevel="0" collapsed="false">
      <c r="A9" s="83" t="s">
        <v>25</v>
      </c>
      <c r="B9" s="84" t="n">
        <v>8.2</v>
      </c>
      <c r="C9" s="85" t="n">
        <v>1.7</v>
      </c>
      <c r="D9" s="86"/>
      <c r="E9" s="86"/>
      <c r="F9" s="87" t="n">
        <f aca="false">($B9*$B$7+$C9*$C$7)/100</f>
        <v>5.925</v>
      </c>
      <c r="G9" s="88"/>
      <c r="H9" s="89"/>
      <c r="I9" s="90"/>
      <c r="J9" s="91"/>
      <c r="K9" s="71"/>
      <c r="L9" s="92"/>
      <c r="M9" s="80" t="s">
        <v>26</v>
      </c>
      <c r="N9" s="81" t="n">
        <f aca="false">STDEV(I23:I82)</f>
        <v>3.24006538752153</v>
      </c>
      <c r="O9" s="82" t="n">
        <f aca="false">STDEV(J23:J82)</f>
        <v>0.757048564917911</v>
      </c>
      <c r="P9" s="8"/>
      <c r="Q9" s="8"/>
      <c r="R9" s="8"/>
      <c r="S9" s="8"/>
      <c r="T9" s="8"/>
      <c r="U9" s="8"/>
      <c r="V9" s="93"/>
      <c r="W9" s="94"/>
    </row>
    <row r="10" customFormat="false" ht="13.5" hidden="false" customHeight="false" outlineLevel="0" collapsed="false">
      <c r="A10" s="95" t="s">
        <v>27</v>
      </c>
      <c r="B10" s="96"/>
      <c r="C10" s="97"/>
      <c r="D10" s="98"/>
      <c r="E10" s="98"/>
      <c r="F10" s="87" t="n">
        <f aca="false">($B10*$B$7+$C10*$C$7)/100</f>
        <v>0</v>
      </c>
      <c r="G10" s="88"/>
      <c r="H10" s="99"/>
      <c r="I10" s="100"/>
      <c r="J10" s="101" t="s">
        <v>28</v>
      </c>
      <c r="K10" s="101"/>
      <c r="L10" s="102"/>
      <c r="M10" s="103" t="s">
        <v>29</v>
      </c>
      <c r="N10" s="104" t="n">
        <f aca="false">MIN(I23:I82)</f>
        <v>6</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19</v>
      </c>
      <c r="O11" s="105" t="n">
        <f aca="false">MAX(J23:J82)</f>
        <v>3</v>
      </c>
      <c r="P11" s="8"/>
      <c r="Q11" s="8"/>
      <c r="R11" s="8"/>
      <c r="S11" s="8"/>
      <c r="T11" s="8"/>
      <c r="U11" s="8"/>
    </row>
    <row r="12" customFormat="false" ht="12.75" hidden="false" customHeight="false" outlineLevel="0" collapsed="false">
      <c r="A12" s="115" t="s">
        <v>33</v>
      </c>
      <c r="B12" s="116" t="n">
        <v>3.85</v>
      </c>
      <c r="C12" s="117" t="n">
        <v>0.8</v>
      </c>
      <c r="D12" s="109"/>
      <c r="E12" s="109"/>
      <c r="F12" s="110" t="n">
        <f aca="false">($B12*$B$7+$C12*$C$7)/100</f>
        <v>2.7825</v>
      </c>
      <c r="G12" s="118"/>
      <c r="H12" s="66"/>
      <c r="I12" s="119" t="s">
        <v>34</v>
      </c>
      <c r="J12" s="119"/>
      <c r="K12" s="113" t="n">
        <f aca="false">COUNTIF($G$23:$G$82,"=ALG")</f>
        <v>10</v>
      </c>
      <c r="L12" s="120"/>
      <c r="M12" s="121"/>
      <c r="N12" s="122" t="s">
        <v>28</v>
      </c>
      <c r="O12" s="123"/>
      <c r="P12" s="8"/>
      <c r="Q12" s="8"/>
      <c r="R12" s="8"/>
      <c r="S12" s="8"/>
      <c r="T12" s="8"/>
      <c r="U12" s="8"/>
    </row>
    <row r="13" customFormat="false" ht="12.75" hidden="false" customHeight="false" outlineLevel="0" collapsed="false">
      <c r="A13" s="115" t="s">
        <v>35</v>
      </c>
      <c r="B13" s="116" t="n">
        <v>3.85</v>
      </c>
      <c r="C13" s="117" t="n">
        <v>0.25</v>
      </c>
      <c r="D13" s="109"/>
      <c r="E13" s="109"/>
      <c r="F13" s="110" t="n">
        <f aca="false">($B13*$B$7+$C13*$C$7)/100</f>
        <v>2.59</v>
      </c>
      <c r="G13" s="118"/>
      <c r="H13" s="66"/>
      <c r="I13" s="119" t="s">
        <v>36</v>
      </c>
      <c r="J13" s="119"/>
      <c r="K13" s="113" t="n">
        <f aca="false">COUNTIF($G$23:$G$82,"=BRm")+COUNTIF($G$23:$G$82,"=BRh")</f>
        <v>11</v>
      </c>
      <c r="L13" s="114"/>
      <c r="M13" s="124" t="s">
        <v>37</v>
      </c>
      <c r="N13" s="125" t="n">
        <f aca="false">COUNTIF(F23:F82,"&gt;0")</f>
        <v>33</v>
      </c>
      <c r="O13" s="126"/>
      <c r="P13" s="8"/>
      <c r="Q13" s="8"/>
      <c r="R13" s="8"/>
      <c r="S13" s="8"/>
      <c r="T13" s="8"/>
      <c r="U13" s="8"/>
    </row>
    <row r="14" customFormat="false" ht="12.75" hidden="false" customHeight="false" outlineLevel="0" collapsed="false">
      <c r="A14" s="115" t="s">
        <v>38</v>
      </c>
      <c r="B14" s="116" t="n">
        <v>0.5</v>
      </c>
      <c r="C14" s="117" t="n">
        <v>0.61</v>
      </c>
      <c r="D14" s="109"/>
      <c r="E14" s="109"/>
      <c r="F14" s="110" t="n">
        <f aca="false">($B14*$B$7+$C14*$C$7)/100</f>
        <v>0.5385</v>
      </c>
      <c r="G14" s="118"/>
      <c r="H14" s="66"/>
      <c r="I14" s="119" t="s">
        <v>39</v>
      </c>
      <c r="J14" s="119"/>
      <c r="K14" s="113" t="n">
        <f aca="false">COUNTIF($G$23:$G$82,"=PTE")</f>
        <v>1</v>
      </c>
      <c r="L14" s="114"/>
      <c r="M14" s="127" t="s">
        <v>40</v>
      </c>
      <c r="N14" s="128" t="n">
        <f aca="false">COUNTIF($I$23:$I$82,"&gt;-1")</f>
        <v>23</v>
      </c>
      <c r="O14" s="129"/>
      <c r="P14" s="8"/>
      <c r="Q14" s="8"/>
      <c r="R14" s="8"/>
      <c r="S14" s="8"/>
      <c r="T14" s="8"/>
      <c r="U14" s="8"/>
    </row>
    <row r="15" customFormat="false" ht="12.75" hidden="false" customHeight="false" outlineLevel="0" collapsed="false">
      <c r="A15" s="130" t="s">
        <v>41</v>
      </c>
      <c r="B15" s="131" t="n">
        <v>0.1</v>
      </c>
      <c r="C15" s="132" t="n">
        <v>0.11</v>
      </c>
      <c r="D15" s="109"/>
      <c r="E15" s="109"/>
      <c r="F15" s="110" t="n">
        <f aca="false">($B15*$B$7+$C15*$C$7)/100</f>
        <v>0.1035</v>
      </c>
      <c r="G15" s="118"/>
      <c r="H15" s="66"/>
      <c r="I15" s="119" t="s">
        <v>42</v>
      </c>
      <c r="J15" s="119"/>
      <c r="K15" s="113" t="n">
        <f aca="false">(COUNTIF($G$23:$G$82,"=PHy"))+(COUNTIF($G$23:$G$82,"=PHe"))+(COUNTIF($G$23:$G$82,"=PHg"))+(COUNTIF($G$23:$G$82,"=PHx"))</f>
        <v>7</v>
      </c>
      <c r="L15" s="114"/>
      <c r="M15" s="133" t="s">
        <v>43</v>
      </c>
      <c r="N15" s="134" t="n">
        <f aca="false">COUNTIF(J23:J82,"=1")</f>
        <v>8</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10</v>
      </c>
      <c r="O16" s="135"/>
      <c r="P16" s="8"/>
      <c r="Q16" s="8"/>
      <c r="R16" s="8"/>
      <c r="S16" s="8"/>
      <c r="T16" s="8"/>
      <c r="U16" s="8"/>
    </row>
    <row r="17" customFormat="false" ht="12.75" hidden="false" customHeight="false" outlineLevel="0" collapsed="false">
      <c r="A17" s="115" t="s">
        <v>46</v>
      </c>
      <c r="B17" s="116" t="n">
        <v>8.2</v>
      </c>
      <c r="C17" s="117" t="n">
        <v>1.65</v>
      </c>
      <c r="D17" s="109"/>
      <c r="E17" s="109"/>
      <c r="F17" s="139"/>
      <c r="G17" s="110" t="n">
        <f aca="false">($B17*$B$7+$C17*$C$7)/100</f>
        <v>5.9075</v>
      </c>
      <c r="H17" s="66"/>
      <c r="I17" s="119"/>
      <c r="J17" s="119"/>
      <c r="K17" s="138"/>
      <c r="L17" s="114"/>
      <c r="M17" s="133" t="s">
        <v>47</v>
      </c>
      <c r="N17" s="134" t="n">
        <f aca="false">COUNTIF(J23:J82,"=3")</f>
        <v>5</v>
      </c>
      <c r="O17" s="135"/>
      <c r="P17" s="8"/>
      <c r="Q17" s="8"/>
      <c r="R17" s="8"/>
      <c r="S17" s="8"/>
      <c r="T17" s="8"/>
      <c r="U17" s="8"/>
    </row>
    <row r="18" customFormat="false" ht="12.75" hidden="false" customHeight="false" outlineLevel="0" collapsed="false">
      <c r="A18" s="140" t="s">
        <v>48</v>
      </c>
      <c r="B18" s="141" t="n">
        <v>0.1</v>
      </c>
      <c r="C18" s="142" t="n">
        <v>0.11</v>
      </c>
      <c r="D18" s="109"/>
      <c r="E18" s="143" t="s">
        <v>49</v>
      </c>
      <c r="F18" s="139"/>
      <c r="G18" s="110" t="n">
        <f aca="false">($B18*$B$7+$C18*$C$7)/100</f>
        <v>0.1035</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6.0145</v>
      </c>
      <c r="G19" s="151" t="n">
        <f aca="false">SUM(G16:G18)</f>
        <v>6.011</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8.31</v>
      </c>
      <c r="C20" s="160" t="n">
        <f aca="false">SUM(C23:C82)</f>
        <v>1.05</v>
      </c>
      <c r="D20" s="161"/>
      <c r="E20" s="162" t="s">
        <v>49</v>
      </c>
      <c r="F20" s="163" t="n">
        <f aca="false">($B20*$B$7+$C20*$C$7)/100</f>
        <v>5.769</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5.4015</v>
      </c>
      <c r="C21" s="172" t="n">
        <f aca="false">C20*C7/100</f>
        <v>0.3675</v>
      </c>
      <c r="D21" s="109" t="str">
        <f aca="false">IF(F21=0,"",IF((ABS(F21-F19))&gt;(0.2*F21),CONCATENATE(" rec. par taxa (",F21," %) supérieur à 20 % !"),""))</f>
        <v/>
      </c>
      <c r="E21" s="173" t="str">
        <f aca="false">IF(F21=0,"",IF((ABS(F21-F19))&gt;(0.2*F21),CONCATENATE("ATTENTION : écart entre rec. par grp (",F19," %) ","et",""),""))</f>
        <v/>
      </c>
      <c r="F21" s="174" t="n">
        <f aca="false">B21+C21</f>
        <v>5.769</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c r="B23" s="195"/>
      <c r="C23" s="196"/>
      <c r="D23" s="197" t="str">
        <f aca="false">IF(ISERROR(VLOOKUP($A23,'[1]liste reference'!$A$7:$D$906,2,0)),IF(ISERROR(VLOOKUP($A23,'[1]liste reference'!$B$7:$D$906,1,0)),"",VLOOKUP($A23,'[1]liste reference'!$B$7:$D$906,1,0)),VLOOKUP($A23,'[1]liste reference'!$A$7:$D$906,2,0))</f>
        <v/>
      </c>
      <c r="E23" s="197" t="n">
        <f aca="false">IF(D23="",0,VLOOKUP(D23,D$21:D22,1,0))</f>
        <v>0</v>
      </c>
      <c r="F23" s="198" t="n">
        <f aca="false">($B23*$B$7+$C23*$C$7)/100</f>
        <v>0</v>
      </c>
      <c r="G23" s="199" t="str">
        <f aca="false">IF(A23="","",IF(ISERROR(VLOOKUP($A23,'[1]liste reference'!$A$7:$P$906,13,0)),IF(ISERROR(VLOOKUP($A23,'[1]liste reference'!$B$7:$P$906,12,0)),"    -",VLOOKUP($A23,'[1]liste reference'!$B$7:$P$906,12,0)),VLOOKUP($A23,'[1]liste reference'!$A$7:$P$906,13,0)))</f>
        <v/>
      </c>
      <c r="H23" s="200" t="str">
        <f aca="false">IF(A23="","x",IF(ISERROR(VLOOKUP($A23,'[1]liste reference'!$A$7:$P$906,14,0)),IF(ISERROR(VLOOKUP($A23,'[1]liste reference'!$B$7:$P$906,13,0)),"x",VLOOKUP($A23,'[1]liste reference'!$B$7:$P$906,13,0)),VLOOKUP($A23,'[1]liste reference'!$A$7:$P$906,14,0)))</f>
        <v>x</v>
      </c>
      <c r="I23" s="201" t="str">
        <f aca="false">IF(ISNUMBER(H23),IF(ISERROR(VLOOKUP($A23,'[1]liste reference'!$A$7:$P$906,3,0)),IF(ISERROR(VLOOKUP($A23,'[1]liste reference'!$B$7:$P$906,2,0)),"",VLOOKUP($A23,'[1]liste reference'!$B$7:$P$906,2,0)),VLOOKUP($A23,'[1]liste reference'!$A$7:$P$906,3,0)),"")</f>
        <v/>
      </c>
      <c r="J23" s="202" t="str">
        <f aca="false">IF(ISNUMBER(H23),IF(ISERROR(VLOOKUP($A23,'[1]liste reference'!$A$7:$P$906,4,0)),IF(ISERROR(VLOOKUP($A23,'[1]liste reference'!$B$7:$P$906,3,0)),"",VLOOKUP($A23,'[1]liste reference'!$B$7:$P$906,3,0)),VLOOKUP($A23,'[1]liste reference'!$A$7:$P$906,4,0)),"")</f>
        <v/>
      </c>
      <c r="K23" s="203" t="str">
        <f aca="false">IF(A23="NEW.COD",AA23,IF(ISTEXT($E23),"DEJA SAISI !",IF(A23="","",IF(ISERROR(VLOOKUP($A23,'[1]liste reference'!$A$7:$D$906,2,0)),IF(ISERROR(VLOOKUP($A23,'[1]liste reference'!$B$7:$D$906,1,0)),"code non répertorié ou synonyme",VLOOKUP($A23,'[1]liste reference'!$B$7:$D$906,1,0)),VLOOKUP(A23,'[1]liste reference'!$A$7:$D$906,2,0)))))</f>
        <v/>
      </c>
      <c r="L23" s="204"/>
      <c r="M23" s="204"/>
      <c r="N23" s="204"/>
      <c r="O23" s="205"/>
      <c r="P23" s="206" t="str">
        <f aca="false">IF(ISTEXT(H23),"",(B23*$B$7/100)+(C23*$C$7/100))</f>
        <v/>
      </c>
      <c r="Q23" s="207" t="str">
        <f aca="false">IF(OR(ISTEXT(H23),P23=0),"",IF(P23&lt;0.1,1,IF(P23&lt;1,2,IF(P23&lt;10,3,IF(P23&lt;50,4,IF(P23&gt;=50,5,""))))))</f>
        <v/>
      </c>
      <c r="R23" s="207" t="n">
        <f aca="false">IF(ISERROR(Q23*I23),0,Q23*I23)</f>
        <v>0</v>
      </c>
      <c r="S23" s="207" t="n">
        <f aca="false">IF(ISERROR(Q23*I23*J23),0,Q23*I23*J23)</f>
        <v>0</v>
      </c>
      <c r="T23" s="207" t="n">
        <f aca="false">IF(ISERROR(Q23*J23),0,Q23*J23)</f>
        <v>0</v>
      </c>
      <c r="U23" s="208" t="str">
        <f aca="false">IF(AND(A23="",F23=0),"",IF(F23=0,"Il manque le(s) % de rec. !",""))</f>
        <v/>
      </c>
      <c r="V23" s="209"/>
      <c r="W23" s="210"/>
      <c r="X23" s="207" t="str">
        <f aca="false">IF(A23="new.cod","NEW.COD",IF(AND((Y23=""),ISTEXT(A23)),A23,IF(Y23="","",INDEX('[1]liste reference'!$A$7:$A$906,Y23))))</f>
        <v/>
      </c>
      <c r="Y23" s="8" t="str">
        <f aca="false">IF(ISERROR(MATCH(A23,'[1]liste reference'!$A$7:$A$906,0)),IF(ISERROR(MATCH(A23,'[1]liste reference'!$B$7:$B$906,0)),"",(MATCH(A23,'[1]liste reference'!$B$7:$B$906,0))),(MATCH(A23,'[1]liste reference'!$A$7:$A$906,0)))</f>
        <v/>
      </c>
      <c r="Z23" s="211"/>
      <c r="AA23" s="212"/>
      <c r="BB23" s="8" t="str">
        <f aca="false">IF(A23="","",1)</f>
        <v/>
      </c>
    </row>
    <row r="24" customFormat="false" ht="12.75" hidden="false" customHeight="false" outlineLevel="0" collapsed="false">
      <c r="A24" s="194" t="s">
        <v>73</v>
      </c>
      <c r="B24" s="195" t="n">
        <v>0.01</v>
      </c>
      <c r="C24" s="213"/>
      <c r="D24" s="214" t="str">
        <f aca="false">IF(ISERROR(VLOOKUP($A24,'[1]liste reference'!$A$7:$D$906,2,0)),IF(ISERROR(VLOOKUP($A24,'[1]liste reference'!$B$7:$D$906,1,0)),"",VLOOKUP($A24,'[1]liste reference'!$B$7:$D$906,1,0)),VLOOKUP($A24,'[1]liste reference'!$A$7:$D$906,2,0))</f>
        <v>Audouinella sp.</v>
      </c>
      <c r="E24" s="214" t="e">
        <f aca="false">IF(D24="",0,VLOOKUP(D24,D$22:D23,1,0))</f>
        <v>#N/A</v>
      </c>
      <c r="F24" s="215" t="n">
        <f aca="false">($B24*$B$7+$C24*$C$7)/100</f>
        <v>0.0065</v>
      </c>
      <c r="G24" s="216"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7" t="n">
        <f aca="false">IF(ISNUMBER(H24),IF(ISERROR(VLOOKUP($A24,'[1]liste reference'!$A$7:$P$906,3,0)),IF(ISERROR(VLOOKUP($A24,'[1]liste reference'!$B$7:$P$906,2,0)),"",VLOOKUP($A24,'[1]liste reference'!$B$7:$P$906,2,0)),VLOOKUP($A24,'[1]liste reference'!$A$7:$P$906,3,0)),"")</f>
        <v>13</v>
      </c>
      <c r="J24" s="202" t="n">
        <f aca="false">IF(ISNUMBER(H24),IF(ISERROR(VLOOKUP($A24,'[1]liste reference'!$A$7:$P$906,4,0)),IF(ISERROR(VLOOKUP($A24,'[1]liste reference'!$B$7:$P$906,3,0)),"",VLOOKUP($A24,'[1]liste reference'!$B$7:$P$906,3,0)),VLOOKUP($A24,'[1]liste reference'!$A$7:$P$906,4,0)),"")</f>
        <v>2</v>
      </c>
      <c r="K24" s="218" t="str">
        <f aca="false">IF(A24="NEW.COD",AA24,IF(ISTEXT($E24),"DEJA SAISI !",IF(A24="","",IF(ISERROR(VLOOKUP($A24,'[1]liste reference'!$A$7:$D$906,2,0)),IF(ISERROR(VLOOKUP($A24,'[1]liste reference'!$B$7:$D$906,1,0)),"code non répertorié ou synonyme",VLOOKUP($A24,'[1]liste reference'!$B$7:$D$906,1,0)),VLOOKUP(A24,'[1]liste reference'!$A$7:$D$906,2,0)))))</f>
        <v>Audouinella sp.</v>
      </c>
      <c r="L24" s="219"/>
      <c r="M24" s="219"/>
      <c r="N24" s="219"/>
      <c r="O24" s="205"/>
      <c r="P24" s="206" t="n">
        <f aca="false">IF(ISTEXT(H24),"",(B24*$B$7/100)+(C24*$C$7/100))</f>
        <v>0.0065</v>
      </c>
      <c r="Q24" s="207" t="n">
        <f aca="false">IF(OR(ISTEXT(H24),P24=0),"",IF(P24&lt;0.1,1,IF(P24&lt;1,2,IF(P24&lt;10,3,IF(P24&lt;50,4,IF(P24&gt;=50,5,""))))))</f>
        <v>1</v>
      </c>
      <c r="R24" s="207" t="n">
        <f aca="false">IF(ISERROR(Q24*I24),0,Q24*I24)</f>
        <v>13</v>
      </c>
      <c r="S24" s="207" t="n">
        <f aca="false">IF(ISERROR(Q24*I24*J24),0,Q24*I24*J24)</f>
        <v>26</v>
      </c>
      <c r="T24" s="220" t="n">
        <f aca="false">IF(ISERROR(Q24*J24),0,Q24*J24)</f>
        <v>2</v>
      </c>
      <c r="U24" s="208" t="str">
        <f aca="false">IF(AND(A24="",F24=0),"",IF(F24=0,"Il manque le(s) % de rec. !",""))</f>
        <v/>
      </c>
      <c r="V24" s="209"/>
      <c r="X24" s="207" t="str">
        <f aca="false">IF(A24="new.cod","NEW.COD",IF(AND((Y24=""),ISTEXT(A24)),A24,IF(Y24="","",INDEX('[1]liste reference'!$A$7:$A$906,Y24))))</f>
        <v>AUD.SPX</v>
      </c>
      <c r="Y24" s="8" t="n">
        <f aca="false">IF(ISERROR(MATCH(A24,'[1]liste reference'!$A$7:$A$906,0)),IF(ISERROR(MATCH(A24,'[1]liste reference'!$B$7:$B$906,0)),"",(MATCH(A24,'[1]liste reference'!$B$7:$B$906,0))),(MATCH(A24,'[1]liste reference'!$A$7:$A$906,0)))</f>
        <v>6</v>
      </c>
      <c r="Z24" s="211"/>
      <c r="AA24" s="212"/>
      <c r="BB24" s="8" t="n">
        <f aca="false">IF(A24="","",1)</f>
        <v>1</v>
      </c>
    </row>
    <row r="25" customFormat="false" ht="12.75" hidden="false" customHeight="false" outlineLevel="0" collapsed="false">
      <c r="A25" s="221" t="s">
        <v>74</v>
      </c>
      <c r="B25" s="222" t="n">
        <v>0.03</v>
      </c>
      <c r="C25" s="213"/>
      <c r="D25" s="214" t="str">
        <f aca="false">IF(ISERROR(VLOOKUP($A25,'[1]liste reference'!$A$7:$D$906,2,0)),IF(ISERROR(VLOOKUP($A25,'[1]liste reference'!$B$7:$D$906,1,0)),"",VLOOKUP($A25,'[1]liste reference'!$B$7:$D$906,1,0)),VLOOKUP($A25,'[1]liste reference'!$A$7:$D$906,2,0))</f>
        <v>Hydrurus foetidus</v>
      </c>
      <c r="E25" s="214" t="e">
        <f aca="false">IF(D25="",0,VLOOKUP(D25,D$22:D24,1,0))</f>
        <v>#N/A</v>
      </c>
      <c r="F25" s="215" t="n">
        <f aca="false">($B25*$B$7+$C25*$C$7)/100</f>
        <v>0.0195</v>
      </c>
      <c r="G25" s="216"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7" t="n">
        <f aca="false">IF(ISNUMBER(H25),IF(ISERROR(VLOOKUP($A25,'[1]liste reference'!$A$7:$P$906,3,0)),IF(ISERROR(VLOOKUP($A25,'[1]liste reference'!$B$7:$P$906,2,0)),"",VLOOKUP($A25,'[1]liste reference'!$B$7:$P$906,2,0)),VLOOKUP($A25,'[1]liste reference'!$A$7:$P$906,3,0)),"")</f>
        <v>16</v>
      </c>
      <c r="J25" s="202" t="n">
        <f aca="false">IF(ISNUMBER(H25),IF(ISERROR(VLOOKUP($A25,'[1]liste reference'!$A$7:$P$906,4,0)),IF(ISERROR(VLOOKUP($A25,'[1]liste reference'!$B$7:$P$906,3,0)),"",VLOOKUP($A25,'[1]liste reference'!$B$7:$P$906,3,0)),VLOOKUP($A25,'[1]liste reference'!$A$7:$P$906,4,0)),"")</f>
        <v>2</v>
      </c>
      <c r="K25" s="218" t="str">
        <f aca="false">IF(A25="NEW.COD",AA25,IF(ISTEXT($E25),"DEJA SAISI !",IF(A25="","",IF(ISERROR(VLOOKUP($A25,'[1]liste reference'!$A$7:$D$906,2,0)),IF(ISERROR(VLOOKUP($A25,'[1]liste reference'!$B$7:$D$906,1,0)),"code non répertorié ou synonyme",VLOOKUP($A25,'[1]liste reference'!$B$7:$D$906,1,0)),VLOOKUP(A25,'[1]liste reference'!$A$7:$D$906,2,0)))))</f>
        <v>Hydrurus foetidus</v>
      </c>
      <c r="L25" s="219"/>
      <c r="M25" s="219"/>
      <c r="N25" s="219"/>
      <c r="O25" s="205"/>
      <c r="P25" s="206" t="n">
        <f aca="false">IF(ISTEXT(H25),"",(B25*$B$7/100)+(C25*$C$7/100))</f>
        <v>0.0195</v>
      </c>
      <c r="Q25" s="207" t="n">
        <f aca="false">IF(OR(ISTEXT(H25),P25=0),"",IF(P25&lt;0.1,1,IF(P25&lt;1,2,IF(P25&lt;10,3,IF(P25&lt;50,4,IF(P25&gt;=50,5,""))))))</f>
        <v>1</v>
      </c>
      <c r="R25" s="207" t="n">
        <f aca="false">IF(ISERROR(Q25*I25),0,Q25*I25)</f>
        <v>16</v>
      </c>
      <c r="S25" s="207" t="n">
        <f aca="false">IF(ISERROR(Q25*I25*J25),0,Q25*I25*J25)</f>
        <v>32</v>
      </c>
      <c r="T25" s="220" t="n">
        <f aca="false">IF(ISERROR(Q25*J25),0,Q25*J25)</f>
        <v>2</v>
      </c>
      <c r="U25" s="208" t="str">
        <f aca="false">IF(AND(A25="",F25=0),"",IF(F25=0,"Il manque le(s) % de rec. !",""))</f>
        <v/>
      </c>
      <c r="V25" s="209"/>
      <c r="X25" s="207" t="str">
        <f aca="false">IF(A25="new.cod","NEW.COD",IF(AND((Y25=""),ISTEXT(A25)),A25,IF(Y25="","",INDEX('[1]liste reference'!$A$7:$A$906,Y25))))</f>
        <v>HYU.SPX</v>
      </c>
      <c r="Y25" s="8" t="n">
        <f aca="false">IF(ISERROR(MATCH(A25,'[1]liste reference'!$A$7:$A$906,0)),IF(ISERROR(MATCH(A25,'[1]liste reference'!$B$7:$B$906,0)),"",(MATCH(A25,'[1]liste reference'!$B$7:$B$906,0))),(MATCH(A25,'[1]liste reference'!$A$7:$A$906,0)))</f>
        <v>34</v>
      </c>
      <c r="Z25" s="211"/>
      <c r="AA25" s="212"/>
      <c r="BB25" s="8" t="n">
        <f aca="false">IF(A25="","",1)</f>
        <v>1</v>
      </c>
    </row>
    <row r="26" customFormat="false" ht="12.75" hidden="false" customHeight="false" outlineLevel="0" collapsed="false">
      <c r="A26" s="221" t="s">
        <v>75</v>
      </c>
      <c r="B26" s="222" t="n">
        <v>3</v>
      </c>
      <c r="C26" s="213"/>
      <c r="D26" s="214" t="str">
        <f aca="false">IF(ISERROR(VLOOKUP($A26,'[1]liste reference'!$A$7:$D$906,2,0)),IF(ISERROR(VLOOKUP($A26,'[1]liste reference'!$B$7:$D$906,1,0)),"",VLOOKUP($A26,'[1]liste reference'!$B$7:$D$906,1,0)),VLOOKUP($A26,'[1]liste reference'!$A$7:$D$906,2,0))</f>
        <v>Lemanea gr. fluviatilis</v>
      </c>
      <c r="E26" s="214" t="e">
        <f aca="false">IF(D26="",0,VLOOKUP(D26,D$22:D25,1,0))</f>
        <v>#N/A</v>
      </c>
      <c r="F26" s="215" t="n">
        <f aca="false">($B26*$B$7+$C26*$C$7)/100</f>
        <v>1.95</v>
      </c>
      <c r="G26" s="216"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7"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8" t="str">
        <f aca="false">IF(A26="NEW.COD",AA26,IF(ISTEXT($E26),"DEJA SAISI !",IF(A26="","",IF(ISERROR(VLOOKUP($A26,'[1]liste reference'!$A$7:$D$906,2,0)),IF(ISERROR(VLOOKUP($A26,'[1]liste reference'!$B$7:$D$906,1,0)),"code non répertorié ou synonyme",VLOOKUP($A26,'[1]liste reference'!$B$7:$D$906,1,0)),VLOOKUP(A26,'[1]liste reference'!$A$7:$D$906,2,0)))))</f>
        <v>Lemanea gr. fluviatilis</v>
      </c>
      <c r="L26" s="219"/>
      <c r="M26" s="219"/>
      <c r="N26" s="219"/>
      <c r="O26" s="205"/>
      <c r="P26" s="206" t="n">
        <f aca="false">IF(ISTEXT(H26),"",(B26*$B$7/100)+(C26*$C$7/100))</f>
        <v>1.95</v>
      </c>
      <c r="Q26" s="207" t="n">
        <f aca="false">IF(OR(ISTEXT(H26),P26=0),"",IF(P26&lt;0.1,1,IF(P26&lt;1,2,IF(P26&lt;10,3,IF(P26&lt;50,4,IF(P26&gt;=50,5,""))))))</f>
        <v>3</v>
      </c>
      <c r="R26" s="207" t="n">
        <f aca="false">IF(ISERROR(Q26*I26),0,Q26*I26)</f>
        <v>45</v>
      </c>
      <c r="S26" s="207" t="n">
        <f aca="false">IF(ISERROR(Q26*I26*J26),0,Q26*I26*J26)</f>
        <v>90</v>
      </c>
      <c r="T26" s="220" t="n">
        <f aca="false">IF(ISERROR(Q26*J26),0,Q26*J26)</f>
        <v>6</v>
      </c>
      <c r="U26" s="208" t="str">
        <f aca="false">IF(AND(A26="",F26=0),"",IF(F26=0,"Il manque le(s) % de rec. !",""))</f>
        <v/>
      </c>
      <c r="V26" s="209"/>
      <c r="X26" s="207" t="str">
        <f aca="false">IF(A26="new.cod","NEW.COD",IF(AND((Y26=""),ISTEXT(A26)),A26,IF(Y26="","",INDEX('[1]liste reference'!$A$7:$A$906,Y26))))</f>
        <v>LEA.SPX</v>
      </c>
      <c r="Y26" s="8" t="n">
        <f aca="false">IF(ISERROR(MATCH(A26,'[1]liste reference'!$A$7:$A$906,0)),IF(ISERROR(MATCH(A26,'[1]liste reference'!$B$7:$B$906,0)),"",(MATCH(A26,'[1]liste reference'!$B$7:$B$906,0))),(MATCH(A26,'[1]liste reference'!$A$7:$A$906,0)))</f>
        <v>35</v>
      </c>
      <c r="Z26" s="211"/>
      <c r="AA26" s="212"/>
      <c r="BB26" s="8" t="n">
        <f aca="false">IF(A26="","",1)</f>
        <v>1</v>
      </c>
    </row>
    <row r="27" customFormat="false" ht="12.75" hidden="false" customHeight="false" outlineLevel="0" collapsed="false">
      <c r="A27" s="221" t="s">
        <v>76</v>
      </c>
      <c r="B27" s="222" t="n">
        <v>0.01</v>
      </c>
      <c r="C27" s="213"/>
      <c r="D27" s="214" t="str">
        <f aca="false">IF(ISERROR(VLOOKUP($A27,'[1]liste reference'!$A$7:$D$906,2,0)),IF(ISERROR(VLOOKUP($A27,'[1]liste reference'!$B$7:$D$906,1,0)),"",VLOOKUP($A27,'[1]liste reference'!$B$7:$D$906,1,0)),VLOOKUP($A27,'[1]liste reference'!$A$7:$D$906,2,0))</f>
        <v>Melosira sp.</v>
      </c>
      <c r="E27" s="214" t="e">
        <f aca="false">IF(D27="",0,VLOOKUP(D27,D$22:D26,1,0))</f>
        <v>#N/A</v>
      </c>
      <c r="F27" s="215" t="n">
        <f aca="false">($B27*$B$7+$C27*$C$7)/100</f>
        <v>0.0065</v>
      </c>
      <c r="G27" s="216"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7"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8" t="str">
        <f aca="false">IF(A27="NEW.COD",AA27,IF(ISTEXT($E27),"DEJA SAISI !",IF(A27="","",IF(ISERROR(VLOOKUP($A27,'[1]liste reference'!$A$7:$D$906,2,0)),IF(ISERROR(VLOOKUP($A27,'[1]liste reference'!$B$7:$D$906,1,0)),"code non répertorié ou synonyme",VLOOKUP($A27,'[1]liste reference'!$B$7:$D$906,1,0)),VLOOKUP(A27,'[1]liste reference'!$A$7:$D$906,2,0)))))</f>
        <v>Melosira sp.</v>
      </c>
      <c r="L27" s="219"/>
      <c r="M27" s="219"/>
      <c r="N27" s="219"/>
      <c r="O27" s="205"/>
      <c r="P27" s="206" t="n">
        <f aca="false">IF(ISTEXT(H27),"",(B27*$B$7/100)+(C27*$C$7/100))</f>
        <v>0.0065</v>
      </c>
      <c r="Q27" s="207" t="n">
        <f aca="false">IF(OR(ISTEXT(H27),P27=0),"",IF(P27&lt;0.1,1,IF(P27&lt;1,2,IF(P27&lt;10,3,IF(P27&lt;50,4,IF(P27&gt;=50,5,""))))))</f>
        <v>1</v>
      </c>
      <c r="R27" s="207" t="n">
        <f aca="false">IF(ISERROR(Q27*I27),0,Q27*I27)</f>
        <v>10</v>
      </c>
      <c r="S27" s="207" t="n">
        <f aca="false">IF(ISERROR(Q27*I27*J27),0,Q27*I27*J27)</f>
        <v>10</v>
      </c>
      <c r="T27" s="220" t="n">
        <f aca="false">IF(ISERROR(Q27*J27),0,Q27*J27)</f>
        <v>1</v>
      </c>
      <c r="U27" s="208" t="str">
        <f aca="false">IF(AND(A27="",F27=0),"",IF(F27=0,"Il manque le(s) % de rec. !",""))</f>
        <v/>
      </c>
      <c r="V27" s="209"/>
      <c r="X27" s="207" t="str">
        <f aca="false">IF(A27="new.cod","NEW.COD",IF(AND((Y27=""),ISTEXT(A27)),A27,IF(Y27="","",INDEX('[1]liste reference'!$A$7:$A$906,Y27))))</f>
        <v>MEL.SPX</v>
      </c>
      <c r="Y27" s="8" t="n">
        <f aca="false">IF(ISERROR(MATCH(A27,'[1]liste reference'!$A$7:$A$906,0)),IF(ISERROR(MATCH(A27,'[1]liste reference'!$B$7:$B$906,0)),"",(MATCH(A27,'[1]liste reference'!$B$7:$B$906,0))),(MATCH(A27,'[1]liste reference'!$A$7:$A$906,0)))</f>
        <v>37</v>
      </c>
      <c r="Z27" s="211"/>
      <c r="AA27" s="212"/>
      <c r="BB27" s="8" t="n">
        <f aca="false">IF(A27="","",1)</f>
        <v>1</v>
      </c>
    </row>
    <row r="28" customFormat="false" ht="12.75" hidden="false" customHeight="false" outlineLevel="0" collapsed="false">
      <c r="A28" s="221" t="s">
        <v>77</v>
      </c>
      <c r="B28" s="222" t="n">
        <v>0.02</v>
      </c>
      <c r="C28" s="213" t="n">
        <v>0.02</v>
      </c>
      <c r="D28" s="214" t="str">
        <f aca="false">IF(ISERROR(VLOOKUP($A28,'[1]liste reference'!$A$7:$D$906,2,0)),IF(ISERROR(VLOOKUP($A28,'[1]liste reference'!$B$7:$D$906,1,0)),"",VLOOKUP($A28,'[1]liste reference'!$B$7:$D$906,1,0)),VLOOKUP($A28,'[1]liste reference'!$A$7:$D$906,2,0))</f>
        <v>Microspora sp.</v>
      </c>
      <c r="E28" s="214" t="e">
        <f aca="false">IF(D28="",0,VLOOKUP(D28,D$22:D27,1,0))</f>
        <v>#N/A</v>
      </c>
      <c r="F28" s="215" t="n">
        <f aca="false">($B28*$B$7+$C28*$C$7)/100</f>
        <v>0.02</v>
      </c>
      <c r="G28" s="216"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7" t="n">
        <f aca="false">IF(ISNUMBER(H28),IF(ISERROR(VLOOKUP($A28,'[1]liste reference'!$A$7:$P$906,3,0)),IF(ISERROR(VLOOKUP($A28,'[1]liste reference'!$B$7:$P$906,2,0)),"",VLOOKUP($A28,'[1]liste reference'!$B$7:$P$906,2,0)),VLOOKUP($A28,'[1]liste reference'!$A$7:$P$906,3,0)),"")</f>
        <v>12</v>
      </c>
      <c r="J28" s="202" t="n">
        <f aca="false">IF(ISNUMBER(H28),IF(ISERROR(VLOOKUP($A28,'[1]liste reference'!$A$7:$P$906,4,0)),IF(ISERROR(VLOOKUP($A28,'[1]liste reference'!$B$7:$P$906,3,0)),"",VLOOKUP($A28,'[1]liste reference'!$B$7:$P$906,3,0)),VLOOKUP($A28,'[1]liste reference'!$A$7:$P$906,4,0)),"")</f>
        <v>2</v>
      </c>
      <c r="K28" s="218" t="str">
        <f aca="false">IF(A28="NEW.COD",AA28,IF(ISTEXT($E28),"DEJA SAISI !",IF(A28="","",IF(ISERROR(VLOOKUP($A28,'[1]liste reference'!$A$7:$D$906,2,0)),IF(ISERROR(VLOOKUP($A28,'[1]liste reference'!$B$7:$D$906,1,0)),"code non répertorié ou synonyme",VLOOKUP($A28,'[1]liste reference'!$B$7:$D$906,1,0)),VLOOKUP(A28,'[1]liste reference'!$A$7:$D$906,2,0)))))</f>
        <v>Microspora sp.</v>
      </c>
      <c r="L28" s="219"/>
      <c r="M28" s="219"/>
      <c r="N28" s="219"/>
      <c r="O28" s="205"/>
      <c r="P28" s="206" t="n">
        <f aca="false">IF(ISTEXT(H28),"",(B28*$B$7/100)+(C28*$C$7/100))</f>
        <v>0.02</v>
      </c>
      <c r="Q28" s="207" t="n">
        <f aca="false">IF(OR(ISTEXT(H28),P28=0),"",IF(P28&lt;0.1,1,IF(P28&lt;1,2,IF(P28&lt;10,3,IF(P28&lt;50,4,IF(P28&gt;=50,5,""))))))</f>
        <v>1</v>
      </c>
      <c r="R28" s="207" t="n">
        <f aca="false">IF(ISERROR(Q28*I28),0,Q28*I28)</f>
        <v>12</v>
      </c>
      <c r="S28" s="207" t="n">
        <f aca="false">IF(ISERROR(Q28*I28*J28),0,Q28*I28*J28)</f>
        <v>24</v>
      </c>
      <c r="T28" s="220" t="n">
        <f aca="false">IF(ISERROR(Q28*J28),0,Q28*J28)</f>
        <v>2</v>
      </c>
      <c r="U28" s="208" t="str">
        <f aca="false">IF(AND(A28="",F28=0),"",IF(F28=0,"Il manque le(s) % de rec. !",""))</f>
        <v/>
      </c>
      <c r="V28" s="209"/>
      <c r="X28" s="207" t="str">
        <f aca="false">IF(A28="new.cod","NEW.COD",IF(AND((Y28=""),ISTEXT(A28)),A28,IF(Y28="","",INDEX('[1]liste reference'!$A$7:$A$906,Y28))))</f>
        <v>MIC.SPX</v>
      </c>
      <c r="Y28" s="8" t="n">
        <f aca="false">IF(ISERROR(MATCH(A28,'[1]liste reference'!$A$7:$A$906,0)),IF(ISERROR(MATCH(A28,'[1]liste reference'!$B$7:$B$906,0)),"",(MATCH(A28,'[1]liste reference'!$B$7:$B$906,0))),(MATCH(A28,'[1]liste reference'!$A$7:$A$906,0)))</f>
        <v>42</v>
      </c>
      <c r="Z28" s="211"/>
      <c r="AA28" s="212"/>
      <c r="BB28" s="8" t="n">
        <f aca="false">IF(A28="","",1)</f>
        <v>1</v>
      </c>
    </row>
    <row r="29" customFormat="false" ht="12.75" hidden="false" customHeight="false" outlineLevel="0" collapsed="false">
      <c r="A29" s="221" t="s">
        <v>78</v>
      </c>
      <c r="B29" s="222" t="n">
        <v>0.7</v>
      </c>
      <c r="C29" s="213" t="n">
        <v>0.02</v>
      </c>
      <c r="D29" s="214" t="str">
        <f aca="false">IF(ISERROR(VLOOKUP($A29,'[1]liste reference'!$A$7:$D$906,2,0)),IF(ISERROR(VLOOKUP($A29,'[1]liste reference'!$B$7:$D$906,1,0)),"",VLOOKUP($A29,'[1]liste reference'!$B$7:$D$906,1,0)),VLOOKUP($A29,'[1]liste reference'!$A$7:$D$906,2,0))</f>
        <v>Nostoc sp.</v>
      </c>
      <c r="E29" s="214" t="e">
        <f aca="false">IF(D29="",0,VLOOKUP(D29,D$22:D28,1,0))</f>
        <v>#N/A</v>
      </c>
      <c r="F29" s="215" t="n">
        <f aca="false">($B29*$B$7+$C29*$C$7)/100</f>
        <v>0.462</v>
      </c>
      <c r="G29" s="216"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7" t="n">
        <f aca="false">IF(ISNUMBER(H29),IF(ISERROR(VLOOKUP($A29,'[1]liste reference'!$A$7:$P$906,3,0)),IF(ISERROR(VLOOKUP($A29,'[1]liste reference'!$B$7:$P$906,2,0)),"",VLOOKUP($A29,'[1]liste reference'!$B$7:$P$906,2,0)),VLOOKUP($A29,'[1]liste reference'!$A$7:$P$906,3,0)),"")</f>
        <v>9</v>
      </c>
      <c r="J29" s="202" t="n">
        <f aca="false">IF(ISNUMBER(H29),IF(ISERROR(VLOOKUP($A29,'[1]liste reference'!$A$7:$P$906,4,0)),IF(ISERROR(VLOOKUP($A29,'[1]liste reference'!$B$7:$P$906,3,0)),"",VLOOKUP($A29,'[1]liste reference'!$B$7:$P$906,3,0)),VLOOKUP($A29,'[1]liste reference'!$A$7:$P$906,4,0)),"")</f>
        <v>1</v>
      </c>
      <c r="K29" s="218" t="str">
        <f aca="false">IF(A29="NEW.COD",AA29,IF(ISTEXT($E29),"DEJA SAISI !",IF(A29="","",IF(ISERROR(VLOOKUP($A29,'[1]liste reference'!$A$7:$D$906,2,0)),IF(ISERROR(VLOOKUP($A29,'[1]liste reference'!$B$7:$D$906,1,0)),"code non répertorié ou synonyme",VLOOKUP($A29,'[1]liste reference'!$B$7:$D$906,1,0)),VLOOKUP(A29,'[1]liste reference'!$A$7:$D$906,2,0)))))</f>
        <v>Nostoc sp.</v>
      </c>
      <c r="L29" s="219"/>
      <c r="M29" s="219"/>
      <c r="N29" s="219"/>
      <c r="O29" s="205"/>
      <c r="P29" s="206" t="n">
        <f aca="false">IF(ISTEXT(H29),"",(B29*$B$7/100)+(C29*$C$7/100))</f>
        <v>0.462</v>
      </c>
      <c r="Q29" s="207" t="n">
        <f aca="false">IF(OR(ISTEXT(H29),P29=0),"",IF(P29&lt;0.1,1,IF(P29&lt;1,2,IF(P29&lt;10,3,IF(P29&lt;50,4,IF(P29&gt;=50,5,""))))))</f>
        <v>2</v>
      </c>
      <c r="R29" s="207" t="n">
        <f aca="false">IF(ISERROR(Q29*I29),0,Q29*I29)</f>
        <v>18</v>
      </c>
      <c r="S29" s="207" t="n">
        <f aca="false">IF(ISERROR(Q29*I29*J29),0,Q29*I29*J29)</f>
        <v>18</v>
      </c>
      <c r="T29" s="220" t="n">
        <f aca="false">IF(ISERROR(Q29*J29),0,Q29*J29)</f>
        <v>2</v>
      </c>
      <c r="U29" s="208" t="str">
        <f aca="false">IF(AND(A29="",F29=0),"",IF(F29=0,"Il manque le(s) % de rec. !",""))</f>
        <v/>
      </c>
      <c r="V29" s="209"/>
      <c r="X29" s="207" t="str">
        <f aca="false">IF(A29="new.cod","NEW.COD",IF(AND((Y29=""),ISTEXT(A29)),A29,IF(Y29="","",INDEX('[1]liste reference'!$A$7:$A$906,Y29))))</f>
        <v>NOS.SPX</v>
      </c>
      <c r="Y29" s="8" t="n">
        <f aca="false">IF(ISERROR(MATCH(A29,'[1]liste reference'!$A$7:$A$906,0)),IF(ISERROR(MATCH(A29,'[1]liste reference'!$B$7:$B$906,0)),"",(MATCH(A29,'[1]liste reference'!$B$7:$B$906,0))),(MATCH(A29,'[1]liste reference'!$A$7:$A$906,0)))</f>
        <v>55</v>
      </c>
      <c r="Z29" s="211"/>
      <c r="AA29" s="212"/>
      <c r="BB29" s="8" t="n">
        <f aca="false">IF(A29="","",1)</f>
        <v>1</v>
      </c>
    </row>
    <row r="30" customFormat="false" ht="12.75" hidden="false" customHeight="false" outlineLevel="0" collapsed="false">
      <c r="A30" s="221" t="s">
        <v>79</v>
      </c>
      <c r="B30" s="222" t="n">
        <v>0.02</v>
      </c>
      <c r="C30" s="213" t="n">
        <v>0.02</v>
      </c>
      <c r="D30" s="214" t="str">
        <f aca="false">IF(ISERROR(VLOOKUP($A30,'[1]liste reference'!$A$7:$D$906,2,0)),IF(ISERROR(VLOOKUP($A30,'[1]liste reference'!$B$7:$D$906,1,0)),"",VLOOKUP($A30,'[1]liste reference'!$B$7:$D$906,1,0)),VLOOKUP($A30,'[1]liste reference'!$A$7:$D$906,2,0))</f>
        <v>Oedogonium sp.</v>
      </c>
      <c r="E30" s="214" t="e">
        <f aca="false">IF(D30="",0,VLOOKUP(D30,D$22:D29,1,0))</f>
        <v>#N/A</v>
      </c>
      <c r="F30" s="215" t="n">
        <f aca="false">($B30*$B$7+$C30*$C$7)/100</f>
        <v>0.02</v>
      </c>
      <c r="G30" s="216"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7" t="n">
        <f aca="false">IF(ISNUMBER(H30),IF(ISERROR(VLOOKUP($A30,'[1]liste reference'!$A$7:$P$906,3,0)),IF(ISERROR(VLOOKUP($A30,'[1]liste reference'!$B$7:$P$906,2,0)),"",VLOOKUP($A30,'[1]liste reference'!$B$7:$P$906,2,0)),VLOOKUP($A30,'[1]liste reference'!$A$7:$P$906,3,0)),"")</f>
        <v>6</v>
      </c>
      <c r="J30" s="202" t="n">
        <f aca="false">IF(ISNUMBER(H30),IF(ISERROR(VLOOKUP($A30,'[1]liste reference'!$A$7:$P$906,4,0)),IF(ISERROR(VLOOKUP($A30,'[1]liste reference'!$B$7:$P$906,3,0)),"",VLOOKUP($A30,'[1]liste reference'!$B$7:$P$906,3,0)),VLOOKUP($A30,'[1]liste reference'!$A$7:$P$906,4,0)),"")</f>
        <v>2</v>
      </c>
      <c r="K30" s="218" t="str">
        <f aca="false">IF(A30="NEW.COD",AA30,IF(ISTEXT($E30),"DEJA SAISI !",IF(A30="","",IF(ISERROR(VLOOKUP($A30,'[1]liste reference'!$A$7:$D$906,2,0)),IF(ISERROR(VLOOKUP($A30,'[1]liste reference'!$B$7:$D$906,1,0)),"code non répertorié ou synonyme",VLOOKUP($A30,'[1]liste reference'!$B$7:$D$906,1,0)),VLOOKUP(A30,'[1]liste reference'!$A$7:$D$906,2,0)))))</f>
        <v>Oedogonium sp.</v>
      </c>
      <c r="L30" s="219"/>
      <c r="M30" s="219"/>
      <c r="N30" s="219"/>
      <c r="O30" s="205"/>
      <c r="P30" s="206" t="n">
        <f aca="false">IF(ISTEXT(H30),"",(B30*$B$7/100)+(C30*$C$7/100))</f>
        <v>0.02</v>
      </c>
      <c r="Q30" s="207" t="n">
        <f aca="false">IF(OR(ISTEXT(H30),P30=0),"",IF(P30&lt;0.1,1,IF(P30&lt;1,2,IF(P30&lt;10,3,IF(P30&lt;50,4,IF(P30&gt;=50,5,""))))))</f>
        <v>1</v>
      </c>
      <c r="R30" s="207" t="n">
        <f aca="false">IF(ISERROR(Q30*I30),0,Q30*I30)</f>
        <v>6</v>
      </c>
      <c r="S30" s="207" t="n">
        <f aca="false">IF(ISERROR(Q30*I30*J30),0,Q30*I30*J30)</f>
        <v>12</v>
      </c>
      <c r="T30" s="220" t="n">
        <f aca="false">IF(ISERROR(Q30*J30),0,Q30*J30)</f>
        <v>2</v>
      </c>
      <c r="U30" s="208" t="str">
        <f aca="false">IF(AND(A30="",F30=0),"",IF(F30=0,"Il manque le(s) % de rec. !",""))</f>
        <v/>
      </c>
      <c r="V30" s="209"/>
      <c r="X30" s="207" t="str">
        <f aca="false">IF(A30="new.cod","NEW.COD",IF(AND((Y30=""),ISTEXT(A30)),A30,IF(Y30="","",INDEX('[1]liste reference'!$A$7:$A$906,Y30))))</f>
        <v>OED.SPX</v>
      </c>
      <c r="Y30" s="8" t="n">
        <f aca="false">IF(ISERROR(MATCH(A30,'[1]liste reference'!$A$7:$A$906,0)),IF(ISERROR(MATCH(A30,'[1]liste reference'!$B$7:$B$906,0)),"",(MATCH(A30,'[1]liste reference'!$B$7:$B$906,0))),(MATCH(A30,'[1]liste reference'!$A$7:$A$906,0)))</f>
        <v>56</v>
      </c>
      <c r="Z30" s="211"/>
      <c r="AA30" s="212"/>
      <c r="BB30" s="8" t="n">
        <f aca="false">IF(A30="","",1)</f>
        <v>1</v>
      </c>
    </row>
    <row r="31" customFormat="false" ht="12.75" hidden="false" customHeight="false" outlineLevel="0" collapsed="false">
      <c r="A31" s="221" t="s">
        <v>80</v>
      </c>
      <c r="B31" s="222" t="n">
        <v>0.01</v>
      </c>
      <c r="C31" s="213"/>
      <c r="D31" s="214" t="str">
        <f aca="false">IF(ISERROR(VLOOKUP($A31,'[1]liste reference'!$A$7:$D$906,2,0)),IF(ISERROR(VLOOKUP($A31,'[1]liste reference'!$B$7:$D$906,1,0)),"",VLOOKUP($A31,'[1]liste reference'!$B$7:$D$906,1,0)),VLOOKUP($A31,'[1]liste reference'!$A$7:$D$906,2,0))</f>
        <v>Oscillatoria sp.</v>
      </c>
      <c r="E31" s="214" t="e">
        <f aca="false">IF(D31="",0,VLOOKUP(D31,D$22:D30,1,0))</f>
        <v>#N/A</v>
      </c>
      <c r="F31" s="215" t="n">
        <f aca="false">($B31*$B$7+$C31*$C$7)/100</f>
        <v>0.0065</v>
      </c>
      <c r="G31" s="216"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7" t="n">
        <f aca="false">IF(ISNUMBER(H31),IF(ISERROR(VLOOKUP($A31,'[1]liste reference'!$A$7:$P$906,3,0)),IF(ISERROR(VLOOKUP($A31,'[1]liste reference'!$B$7:$P$906,2,0)),"",VLOOKUP($A31,'[1]liste reference'!$B$7:$P$906,2,0)),VLOOKUP($A31,'[1]liste reference'!$A$7:$P$906,3,0)),"")</f>
        <v>11</v>
      </c>
      <c r="J31" s="202" t="n">
        <f aca="false">IF(ISNUMBER(H31),IF(ISERROR(VLOOKUP($A31,'[1]liste reference'!$A$7:$P$906,4,0)),IF(ISERROR(VLOOKUP($A31,'[1]liste reference'!$B$7:$P$906,3,0)),"",VLOOKUP($A31,'[1]liste reference'!$B$7:$P$906,3,0)),VLOOKUP($A31,'[1]liste reference'!$A$7:$P$906,4,0)),"")</f>
        <v>1</v>
      </c>
      <c r="K31" s="218" t="str">
        <f aca="false">IF(A31="NEW.COD",AA31,IF(ISTEXT($E31),"DEJA SAISI !",IF(A31="","",IF(ISERROR(VLOOKUP($A31,'[1]liste reference'!$A$7:$D$906,2,0)),IF(ISERROR(VLOOKUP($A31,'[1]liste reference'!$B$7:$D$906,1,0)),"code non répertorié ou synonyme",VLOOKUP($A31,'[1]liste reference'!$B$7:$D$906,1,0)),VLOOKUP(A31,'[1]liste reference'!$A$7:$D$906,2,0)))))</f>
        <v>Oscillatoria sp.</v>
      </c>
      <c r="L31" s="219"/>
      <c r="M31" s="219"/>
      <c r="N31" s="219"/>
      <c r="O31" s="205"/>
      <c r="P31" s="206" t="n">
        <f aca="false">IF(ISTEXT(H31),"",(B31*$B$7/100)+(C31*$C$7/100))</f>
        <v>0.0065</v>
      </c>
      <c r="Q31" s="207" t="n">
        <f aca="false">IF(OR(ISTEXT(H31),P31=0),"",IF(P31&lt;0.1,1,IF(P31&lt;1,2,IF(P31&lt;10,3,IF(P31&lt;50,4,IF(P31&gt;=50,5,""))))))</f>
        <v>1</v>
      </c>
      <c r="R31" s="207" t="n">
        <f aca="false">IF(ISERROR(Q31*I31),0,Q31*I31)</f>
        <v>11</v>
      </c>
      <c r="S31" s="207" t="n">
        <f aca="false">IF(ISERROR(Q31*I31*J31),0,Q31*I31*J31)</f>
        <v>11</v>
      </c>
      <c r="T31" s="220" t="n">
        <f aca="false">IF(ISERROR(Q31*J31),0,Q31*J31)</f>
        <v>1</v>
      </c>
      <c r="U31" s="208" t="str">
        <f aca="false">IF(AND(A31="",F31=0),"",IF(F31=0,"Il manque le(s) % de rec. !",""))</f>
        <v/>
      </c>
      <c r="V31" s="209"/>
      <c r="X31" s="207" t="str">
        <f aca="false">IF(A31="new.cod","NEW.COD",IF(AND((Y31=""),ISTEXT(A31)),A31,IF(Y31="","",INDEX('[1]liste reference'!$A$7:$A$906,Y31))))</f>
        <v>OSC.SPX</v>
      </c>
      <c r="Y31" s="8" t="n">
        <f aca="false">IF(ISERROR(MATCH(A31,'[1]liste reference'!$A$7:$A$906,0)),IF(ISERROR(MATCH(A31,'[1]liste reference'!$B$7:$B$906,0)),"",(MATCH(A31,'[1]liste reference'!$B$7:$B$906,0))),(MATCH(A31,'[1]liste reference'!$A$7:$A$906,0)))</f>
        <v>57</v>
      </c>
      <c r="Z31" s="211"/>
      <c r="AA31" s="212"/>
      <c r="BB31" s="8" t="n">
        <f aca="false">IF(A31="","",1)</f>
        <v>1</v>
      </c>
    </row>
    <row r="32" customFormat="false" ht="12.75" hidden="false" customHeight="false" outlineLevel="0" collapsed="false">
      <c r="A32" s="221" t="s">
        <v>81</v>
      </c>
      <c r="B32" s="222" t="n">
        <v>0.01</v>
      </c>
      <c r="C32" s="213"/>
      <c r="D32" s="214" t="str">
        <f aca="false">IF(ISERROR(VLOOKUP($A32,'[1]liste reference'!$A$7:$D$906,2,0)),IF(ISERROR(VLOOKUP($A32,'[1]liste reference'!$B$7:$D$906,1,0)),"",VLOOKUP($A32,'[1]liste reference'!$B$7:$D$906,1,0)),VLOOKUP($A32,'[1]liste reference'!$A$7:$D$906,2,0))</f>
        <v>Phormidium sp.</v>
      </c>
      <c r="E32" s="214" t="e">
        <f aca="false">IF(D32="",0,VLOOKUP(D32,D$22:D31,1,0))</f>
        <v>#N/A</v>
      </c>
      <c r="F32" s="215" t="n">
        <f aca="false">($B32*$B$7+$C32*$C$7)/100</f>
        <v>0.0065</v>
      </c>
      <c r="G32" s="216"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7" t="n">
        <f aca="false">IF(ISNUMBER(H32),IF(ISERROR(VLOOKUP($A32,'[1]liste reference'!$A$7:$P$906,3,0)),IF(ISERROR(VLOOKUP($A32,'[1]liste reference'!$B$7:$P$906,2,0)),"",VLOOKUP($A32,'[1]liste reference'!$B$7:$P$906,2,0)),VLOOKUP($A32,'[1]liste reference'!$A$7:$P$906,3,0)),"")</f>
        <v>13</v>
      </c>
      <c r="J32" s="202" t="n">
        <f aca="false">IF(ISNUMBER(H32),IF(ISERROR(VLOOKUP($A32,'[1]liste reference'!$A$7:$P$906,4,0)),IF(ISERROR(VLOOKUP($A32,'[1]liste reference'!$B$7:$P$906,3,0)),"",VLOOKUP($A32,'[1]liste reference'!$B$7:$P$906,3,0)),VLOOKUP($A32,'[1]liste reference'!$A$7:$P$906,4,0)),"")</f>
        <v>2</v>
      </c>
      <c r="K32" s="218" t="str">
        <f aca="false">IF(A32="NEW.COD",AA32,IF(ISTEXT($E32),"DEJA SAISI !",IF(A32="","",IF(ISERROR(VLOOKUP($A32,'[1]liste reference'!$A$7:$D$906,2,0)),IF(ISERROR(VLOOKUP($A32,'[1]liste reference'!$B$7:$D$906,1,0)),"code non répertorié ou synonyme",VLOOKUP($A32,'[1]liste reference'!$B$7:$D$906,1,0)),VLOOKUP(A32,'[1]liste reference'!$A$7:$D$906,2,0)))))</f>
        <v>Phormidium sp.</v>
      </c>
      <c r="L32" s="223"/>
      <c r="M32" s="223"/>
      <c r="N32" s="223"/>
      <c r="O32" s="224"/>
      <c r="P32" s="206" t="n">
        <f aca="false">IF(ISTEXT(H32),"",(B32*$B$7/100)+(C32*$C$7/100))</f>
        <v>0.0065</v>
      </c>
      <c r="Q32" s="207" t="n">
        <f aca="false">IF(OR(ISTEXT(H32),P32=0),"",IF(P32&lt;0.1,1,IF(P32&lt;1,2,IF(P32&lt;10,3,IF(P32&lt;50,4,IF(P32&gt;=50,5,""))))))</f>
        <v>1</v>
      </c>
      <c r="R32" s="207" t="n">
        <f aca="false">IF(ISERROR(Q32*I32),0,Q32*I32)</f>
        <v>13</v>
      </c>
      <c r="S32" s="207" t="n">
        <f aca="false">IF(ISERROR(Q32*I32*J32),0,Q32*I32*J32)</f>
        <v>26</v>
      </c>
      <c r="T32" s="220" t="n">
        <f aca="false">IF(ISERROR(Q32*J32),0,Q32*J32)</f>
        <v>2</v>
      </c>
      <c r="U32" s="208" t="str">
        <f aca="false">IF(AND(A32="",F32=0),"",IF(F32=0,"Il manque le(s) % de rec. !",""))</f>
        <v/>
      </c>
      <c r="V32" s="209"/>
      <c r="X32" s="207" t="str">
        <f aca="false">IF(A32="new.cod","NEW.COD",IF(AND((Y32=""),ISTEXT(A32)),A32,IF(Y32="","",INDEX('[1]liste reference'!$A$7:$A$906,Y32))))</f>
        <v>PHO.SPX</v>
      </c>
      <c r="Y32" s="8" t="n">
        <f aca="false">IF(ISERROR(MATCH(A32,'[1]liste reference'!$A$7:$A$906,0)),IF(ISERROR(MATCH(A32,'[1]liste reference'!$B$7:$B$906,0)),"",(MATCH(A32,'[1]liste reference'!$B$7:$B$906,0))),(MATCH(A32,'[1]liste reference'!$A$7:$A$906,0)))</f>
        <v>58</v>
      </c>
      <c r="Z32" s="211"/>
      <c r="AA32" s="212"/>
      <c r="BB32" s="8" t="n">
        <f aca="false">IF(A32="","",1)</f>
        <v>1</v>
      </c>
    </row>
    <row r="33" customFormat="false" ht="12.75" hidden="false" customHeight="false" outlineLevel="0" collapsed="false">
      <c r="A33" s="221" t="s">
        <v>82</v>
      </c>
      <c r="B33" s="222" t="n">
        <v>0.04</v>
      </c>
      <c r="C33" s="213" t="n">
        <v>0.02</v>
      </c>
      <c r="D33" s="214" t="str">
        <f aca="false">IF(ISERROR(VLOOKUP($A33,'[1]liste reference'!$A$7:$D$906,2,0)),IF(ISERROR(VLOOKUP($A33,'[1]liste reference'!$B$7:$D$906,1,0)),"",VLOOKUP($A33,'[1]liste reference'!$B$7:$D$906,1,0)),VLOOKUP($A33,'[1]liste reference'!$A$7:$D$906,2,0))</f>
        <v>Spirogyra sp.</v>
      </c>
      <c r="E33" s="214" t="e">
        <f aca="false">IF(D33="",0,VLOOKUP(D33,D$22:D32,1,0))</f>
        <v>#N/A</v>
      </c>
      <c r="F33" s="215" t="n">
        <f aca="false">($B33*$B$7+$C33*$C$7)/100</f>
        <v>0.033</v>
      </c>
      <c r="G33" s="216" t="str">
        <f aca="false">IF(A33="","",IF(ISERROR(VLOOKUP($A33,'[1]liste reference'!$A$7:$P$906,13,0)),IF(ISERROR(VLOOKUP($A33,'[1]liste reference'!$B$7:$P$906,12,0)),"    -",VLOOKUP($A33,'[1]liste reference'!$B$7:$P$906,12,0)),VLOOKUP($A33,'[1]liste reference'!$A$7:$P$906,13,0)))</f>
        <v>ALG</v>
      </c>
      <c r="H33" s="200" t="n">
        <f aca="false">IF(A33="","x",IF(ISERROR(VLOOKUP($A33,'[1]liste reference'!$A$7:$P$906,14,0)),IF(ISERROR(VLOOKUP($A33,'[1]liste reference'!$B$7:$P$906,13,0)),"x",VLOOKUP($A33,'[1]liste reference'!$B$7:$P$906,13,0)),VLOOKUP($A33,'[1]liste reference'!$A$7:$P$906,14,0)))</f>
        <v>2</v>
      </c>
      <c r="I33" s="217"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8" t="str">
        <f aca="false">IF(A33="NEW.COD",AA33,IF(ISTEXT($E33),"DEJA SAISI !",IF(A33="","",IF(ISERROR(VLOOKUP($A33,'[1]liste reference'!$A$7:$D$906,2,0)),IF(ISERROR(VLOOKUP($A33,'[1]liste reference'!$B$7:$D$906,1,0)),"code non répertorié ou synonyme",VLOOKUP($A33,'[1]liste reference'!$B$7:$D$906,1,0)),VLOOKUP(A33,'[1]liste reference'!$A$7:$D$906,2,0)))))</f>
        <v>Spirogyra sp.</v>
      </c>
      <c r="L33" s="219"/>
      <c r="M33" s="219"/>
      <c r="N33" s="219"/>
      <c r="O33" s="205"/>
      <c r="P33" s="206" t="n">
        <f aca="false">IF(ISTEXT(H33),"",(B33*$B$7/100)+(C33*$C$7/100))</f>
        <v>0.033</v>
      </c>
      <c r="Q33" s="207" t="n">
        <f aca="false">IF(OR(ISTEXT(H33),P33=0),"",IF(P33&lt;0.1,1,IF(P33&lt;1,2,IF(P33&lt;10,3,IF(P33&lt;50,4,IF(P33&gt;=50,5,""))))))</f>
        <v>1</v>
      </c>
      <c r="R33" s="207" t="n">
        <f aca="false">IF(ISERROR(Q33*I33),0,Q33*I33)</f>
        <v>10</v>
      </c>
      <c r="S33" s="207" t="n">
        <f aca="false">IF(ISERROR(Q33*I33*J33),0,Q33*I33*J33)</f>
        <v>10</v>
      </c>
      <c r="T33" s="220" t="n">
        <f aca="false">IF(ISERROR(Q33*J33),0,Q33*J33)</f>
        <v>1</v>
      </c>
      <c r="U33" s="208" t="str">
        <f aca="false">IF(AND(A33="",F33=0),"",IF(F33=0,"Il manque le(s) % de rec. !",""))</f>
        <v/>
      </c>
      <c r="V33" s="209"/>
      <c r="X33" s="207" t="str">
        <f aca="false">IF(A33="new.cod","NEW.COD",IF(AND((Y33=""),ISTEXT(A33)),A33,IF(Y33="","",INDEX('[1]liste reference'!$A$7:$A$906,Y33))))</f>
        <v>SPI.SPX</v>
      </c>
      <c r="Y33" s="8" t="n">
        <f aca="false">IF(ISERROR(MATCH(A33,'[1]liste reference'!$A$7:$A$906,0)),IF(ISERROR(MATCH(A33,'[1]liste reference'!$B$7:$B$906,0)),"",(MATCH(A33,'[1]liste reference'!$B$7:$B$906,0))),(MATCH(A33,'[1]liste reference'!$A$7:$A$906,0)))</f>
        <v>70</v>
      </c>
      <c r="Z33" s="211"/>
      <c r="AA33" s="212"/>
      <c r="BB33" s="8" t="n">
        <f aca="false">IF(A33="","",1)</f>
        <v>1</v>
      </c>
    </row>
    <row r="34" customFormat="false" ht="12.75" hidden="false" customHeight="false" outlineLevel="0" collapsed="false">
      <c r="A34" s="221"/>
      <c r="B34" s="222"/>
      <c r="C34" s="213"/>
      <c r="D34" s="214" t="str">
        <f aca="false">IF(ISERROR(VLOOKUP($A34,'[1]liste reference'!$A$7:$D$906,2,0)),IF(ISERROR(VLOOKUP($A34,'[1]liste reference'!$B$7:$D$906,1,0)),"",VLOOKUP($A34,'[1]liste reference'!$B$7:$D$906,1,0)),VLOOKUP($A34,'[1]liste reference'!$A$7:$D$906,2,0))</f>
        <v/>
      </c>
      <c r="E34" s="214" t="n">
        <f aca="false">IF(D34="",0,VLOOKUP(D34,D$22:D33,1,0))</f>
        <v>0</v>
      </c>
      <c r="F34" s="225" t="n">
        <f aca="false">($B34*$B$7+$C34*$C$7)/100</f>
        <v>0</v>
      </c>
      <c r="G34" s="216" t="str">
        <f aca="false">IF(A34="","",IF(ISERROR(VLOOKUP($A34,'[1]liste reference'!$A$7:$P$906,13,0)),IF(ISERROR(VLOOKUP($A34,'[1]liste reference'!$B$7:$P$906,12,0)),"    -",VLOOKUP($A34,'[1]liste reference'!$B$7:$P$906,12,0)),VLOOKUP($A34,'[1]liste reference'!$A$7:$P$906,13,0)))</f>
        <v/>
      </c>
      <c r="H34" s="200" t="str">
        <f aca="false">IF(A34="","x",IF(ISERROR(VLOOKUP($A34,'[1]liste reference'!$A$7:$P$906,14,0)),IF(ISERROR(VLOOKUP($A34,'[1]liste reference'!$B$7:$P$906,13,0)),"x",VLOOKUP($A34,'[1]liste reference'!$B$7:$P$906,13,0)),VLOOKUP($A34,'[1]liste reference'!$A$7:$P$906,14,0)))</f>
        <v>x</v>
      </c>
      <c r="I34" s="217"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8" t="str">
        <f aca="false">IF(A34="NEW.COD",AA34,IF(ISTEXT($E34),"DEJA SAISI !",IF(A34="","",IF(ISERROR(VLOOKUP($A34,'[1]liste reference'!$A$7:$D$906,2,0)),IF(ISERROR(VLOOKUP($A34,'[1]liste reference'!$B$7:$D$906,1,0)),"code non répertorié ou synonyme",VLOOKUP($A34,'[1]liste reference'!$B$7:$D$906,1,0)),VLOOKUP(A34,'[1]liste reference'!$A$7:$D$906,2,0)))))</f>
        <v/>
      </c>
      <c r="L34" s="223"/>
      <c r="M34" s="223"/>
      <c r="N34" s="223"/>
      <c r="O34" s="224"/>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0" t="n">
        <f aca="false">IF(ISERROR(Q34*J34),0,Q34*J34)</f>
        <v>0</v>
      </c>
      <c r="U34" s="208" t="str">
        <f aca="false">IF(AND(A34="",F34=0),"",IF(F34=0,"Il manque le(s) % de rec. !",""))</f>
        <v/>
      </c>
      <c r="V34" s="209"/>
      <c r="X34" s="207" t="str">
        <f aca="false">IF(A34="new.cod","NEW.COD",IF(AND((Y34=""),ISTEXT(A34)),A34,IF(Y34="","",INDEX('[1]liste reference'!$A$7:$A$906,Y34))))</f>
        <v/>
      </c>
      <c r="Y34" s="8" t="str">
        <f aca="false">IF(ISERROR(MATCH(A34,'[1]liste reference'!$A$7:$A$906,0)),IF(ISERROR(MATCH(A34,'[1]liste reference'!$B$7:$B$906,0)),"",(MATCH(A34,'[1]liste reference'!$B$7:$B$906,0))),(MATCH(A34,'[1]liste reference'!$A$7:$A$906,0)))</f>
        <v/>
      </c>
      <c r="Z34" s="211"/>
      <c r="AA34" s="212"/>
      <c r="BB34" s="8" t="str">
        <f aca="false">IF(A34="","",1)</f>
        <v/>
      </c>
    </row>
    <row r="35" customFormat="false" ht="12.75" hidden="false" customHeight="false" outlineLevel="0" collapsed="false">
      <c r="A35" s="221" t="s">
        <v>83</v>
      </c>
      <c r="B35" s="222" t="n">
        <v>0.1</v>
      </c>
      <c r="C35" s="213" t="n">
        <v>0.3</v>
      </c>
      <c r="D35" s="214" t="str">
        <f aca="false">IF(ISERROR(VLOOKUP($A35,'[1]liste reference'!$A$7:$D$906,2,0)),IF(ISERROR(VLOOKUP($A35,'[1]liste reference'!$B$7:$D$906,1,0)),"",VLOOKUP($A35,'[1]liste reference'!$B$7:$D$906,1,0)),VLOOKUP($A35,'[1]liste reference'!$A$7:$D$906,2,0))</f>
        <v>Dermatocarpon sp.</v>
      </c>
      <c r="E35" s="214" t="e">
        <f aca="false">IF(D35="",0,VLOOKUP(D35,D$22:D34,1,0))</f>
        <v>#N/A</v>
      </c>
      <c r="F35" s="225" t="n">
        <f aca="false">($B35*$B$7+$C35*$C$7)/100</f>
        <v>0.17</v>
      </c>
      <c r="G35" s="216" t="str">
        <f aca="false">IF(A35="","",IF(ISERROR(VLOOKUP($A35,'[1]liste reference'!$A$7:$P$906,13,0)),IF(ISERROR(VLOOKUP($A35,'[1]liste reference'!$B$7:$P$906,12,0)),"    -",VLOOKUP($A35,'[1]liste reference'!$B$7:$P$906,12,0)),VLOOKUP($A35,'[1]liste reference'!$A$7:$P$906,13,0)))</f>
        <v>LIC</v>
      </c>
      <c r="H35" s="200" t="n">
        <f aca="false">IF(A35="","x",IF(ISERROR(VLOOKUP($A35,'[1]liste reference'!$A$7:$P$906,14,0)),IF(ISERROR(VLOOKUP($A35,'[1]liste reference'!$B$7:$P$906,13,0)),"x",VLOOKUP($A35,'[1]liste reference'!$B$7:$P$906,13,0)),VLOOKUP($A35,'[1]liste reference'!$A$7:$P$906,14,0)))</f>
        <v>3</v>
      </c>
      <c r="I35" s="217"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8" t="str">
        <f aca="false">IF(A35="NEW.COD",AA35,IF(ISTEXT($E35),"DEJA SAISI !",IF(A35="","",IF(ISERROR(VLOOKUP($A35,'[1]liste reference'!$A$7:$D$906,2,0)),IF(ISERROR(VLOOKUP($A35,'[1]liste reference'!$B$7:$D$906,1,0)),"code non répertorié ou synonyme",VLOOKUP($A35,'[1]liste reference'!$B$7:$D$906,1,0)),VLOOKUP(A35,'[1]liste reference'!$A$7:$D$906,2,0)))))</f>
        <v>Dermatocarpon sp.</v>
      </c>
      <c r="L35" s="219"/>
      <c r="M35" s="219"/>
      <c r="N35" s="219"/>
      <c r="O35" s="205"/>
      <c r="P35" s="206" t="n">
        <f aca="false">IF(ISTEXT(H35),"",(B35*$B$7/100)+(C35*$C$7/100))</f>
        <v>0.17</v>
      </c>
      <c r="Q35" s="207" t="n">
        <f aca="false">IF(OR(ISTEXT(H35),P35=0),"",IF(P35&lt;0.1,1,IF(P35&lt;1,2,IF(P35&lt;10,3,IF(P35&lt;50,4,IF(P35&gt;=50,5,""))))))</f>
        <v>2</v>
      </c>
      <c r="R35" s="207" t="n">
        <f aca="false">IF(ISERROR(Q35*I35),0,Q35*I35)</f>
        <v>0</v>
      </c>
      <c r="S35" s="207" t="n">
        <f aca="false">IF(ISERROR(Q35*I35*J35),0,Q35*I35*J35)</f>
        <v>0</v>
      </c>
      <c r="T35" s="220" t="n">
        <f aca="false">IF(ISERROR(Q35*J35),0,Q35*J35)</f>
        <v>0</v>
      </c>
      <c r="U35" s="208" t="str">
        <f aca="false">IF(AND(A35="",F35=0),"",IF(F35=0,"Il manque le(s) % de rec. !",""))</f>
        <v/>
      </c>
      <c r="V35" s="209"/>
      <c r="X35" s="207" t="str">
        <f aca="false">IF(A35="new.cod","NEW.COD",IF(AND((Y35=""),ISTEXT(A35)),A35,IF(Y35="","",INDEX('[1]liste reference'!$A$7:$A$906,Y35))))</f>
        <v>DER.SPX</v>
      </c>
      <c r="Y35" s="8" t="n">
        <f aca="false">IF(ISERROR(MATCH(A35,'[1]liste reference'!$A$7:$A$906,0)),IF(ISERROR(MATCH(A35,'[1]liste reference'!$B$7:$B$906,0)),"",(MATCH(A35,'[1]liste reference'!$B$7:$B$906,0))),(MATCH(A35,'[1]liste reference'!$A$7:$A$906,0)))</f>
        <v>88</v>
      </c>
      <c r="Z35" s="211"/>
      <c r="AA35" s="212"/>
      <c r="BB35" s="8" t="n">
        <f aca="false">IF(A35="","",1)</f>
        <v>1</v>
      </c>
    </row>
    <row r="36" customFormat="false" ht="12.75" hidden="false" customHeight="false" outlineLevel="0" collapsed="false">
      <c r="A36" s="221" t="s">
        <v>84</v>
      </c>
      <c r="B36" s="222" t="n">
        <v>0.4</v>
      </c>
      <c r="C36" s="213" t="n">
        <v>0.3</v>
      </c>
      <c r="D36" s="214" t="str">
        <f aca="false">IF(ISERROR(VLOOKUP($A36,'[1]liste reference'!$A$7:$D$906,2,0)),IF(ISERROR(VLOOKUP($A36,'[1]liste reference'!$B$7:$D$906,1,0)),"",VLOOKUP($A36,'[1]liste reference'!$B$7:$D$906,1,0)),VLOOKUP($A36,'[1]liste reference'!$A$7:$D$906,2,0))</f>
        <v>Collema fluviatile</v>
      </c>
      <c r="E36" s="214" t="e">
        <f aca="false">IF(D36="",0,VLOOKUP(D36,D$22:D35,1,0))</f>
        <v>#N/A</v>
      </c>
      <c r="F36" s="225" t="n">
        <f aca="false">($B36*$B$7+$C36*$C$7)/100</f>
        <v>0.365</v>
      </c>
      <c r="G36" s="216" t="str">
        <f aca="false">IF(A36="","",IF(ISERROR(VLOOKUP($A36,'[1]liste reference'!$A$7:$P$906,13,0)),IF(ISERROR(VLOOKUP($A36,'[1]liste reference'!$B$7:$P$906,12,0)),"    -",VLOOKUP($A36,'[1]liste reference'!$B$7:$P$906,12,0)),VLOOKUP($A36,'[1]liste reference'!$A$7:$P$906,13,0)))</f>
        <v>LIC</v>
      </c>
      <c r="H36" s="200" t="n">
        <f aca="false">IF(A36="","x",IF(ISERROR(VLOOKUP($A36,'[1]liste reference'!$A$7:$P$906,14,0)),IF(ISERROR(VLOOKUP($A36,'[1]liste reference'!$B$7:$P$906,13,0)),"x",VLOOKUP($A36,'[1]liste reference'!$B$7:$P$906,13,0)),VLOOKUP($A36,'[1]liste reference'!$A$7:$P$906,14,0)))</f>
        <v>3</v>
      </c>
      <c r="I36" s="217" t="n">
        <f aca="false">IF(ISNUMBER(H36),IF(ISERROR(VLOOKUP($A36,'[1]liste reference'!$A$7:$P$906,3,0)),IF(ISERROR(VLOOKUP($A36,'[1]liste reference'!$B$7:$P$906,2,0)),"",VLOOKUP($A36,'[1]liste reference'!$B$7:$P$906,2,0)),VLOOKUP($A36,'[1]liste reference'!$A$7:$P$906,3,0)),"")</f>
        <v>17</v>
      </c>
      <c r="J36" s="202" t="n">
        <f aca="false">IF(ISNUMBER(H36),IF(ISERROR(VLOOKUP($A36,'[1]liste reference'!$A$7:$P$906,4,0)),IF(ISERROR(VLOOKUP($A36,'[1]liste reference'!$B$7:$P$906,3,0)),"",VLOOKUP($A36,'[1]liste reference'!$B$7:$P$906,3,0)),VLOOKUP($A36,'[1]liste reference'!$A$7:$P$906,4,0)),"")</f>
        <v>3</v>
      </c>
      <c r="K36" s="218" t="str">
        <f aca="false">IF(A36="NEW.COD",AA36,IF(ISTEXT($E36),"DEJA SAISI !",IF(A36="","",IF(ISERROR(VLOOKUP($A36,'[1]liste reference'!$A$7:$D$906,2,0)),IF(ISERROR(VLOOKUP($A36,'[1]liste reference'!$B$7:$D$906,1,0)),"code non répertorié ou synonyme",VLOOKUP($A36,'[1]liste reference'!$B$7:$D$906,1,0)),VLOOKUP(A36,'[1]liste reference'!$A$7:$D$906,2,0)))))</f>
        <v>Collema fluviatile</v>
      </c>
      <c r="L36" s="219"/>
      <c r="M36" s="219"/>
      <c r="N36" s="219"/>
      <c r="O36" s="205"/>
      <c r="P36" s="206" t="n">
        <f aca="false">IF(ISTEXT(H36),"",(B36*$B$7/100)+(C36*$C$7/100))</f>
        <v>0.365</v>
      </c>
      <c r="Q36" s="207" t="n">
        <f aca="false">IF(OR(ISTEXT(H36),P36=0),"",IF(P36&lt;0.1,1,IF(P36&lt;1,2,IF(P36&lt;10,3,IF(P36&lt;50,4,IF(P36&gt;=50,5,""))))))</f>
        <v>2</v>
      </c>
      <c r="R36" s="207" t="n">
        <f aca="false">IF(ISERROR(Q36*I36),0,Q36*I36)</f>
        <v>34</v>
      </c>
      <c r="S36" s="207" t="n">
        <f aca="false">IF(ISERROR(Q36*I36*J36),0,Q36*I36*J36)</f>
        <v>102</v>
      </c>
      <c r="T36" s="220" t="n">
        <f aca="false">IF(ISERROR(Q36*J36),0,Q36*J36)</f>
        <v>6</v>
      </c>
      <c r="U36" s="208" t="str">
        <f aca="false">IF(AND(A36="",F36=0),"",IF(F36=0,"Il manque le(s) % de rec. !",""))</f>
        <v/>
      </c>
      <c r="V36" s="209"/>
      <c r="W36" s="209"/>
      <c r="X36" s="207" t="str">
        <f aca="false">IF(A36="new.cod","NEW.COD",IF(AND((Y36=""),ISTEXT(A36)),A36,IF(Y36="","",INDEX('[1]liste reference'!$A$7:$A$906,Y36))))</f>
        <v>COL.FLU</v>
      </c>
      <c r="Y36" s="8" t="n">
        <f aca="false">IF(ISERROR(MATCH(A36,'[1]liste reference'!$A$7:$A$906,0)),IF(ISERROR(MATCH(A36,'[1]liste reference'!$B$7:$B$906,0)),"",(MATCH(A36,'[1]liste reference'!$B$7:$B$906,0))),(MATCH(A36,'[1]liste reference'!$A$7:$A$906,0)))</f>
        <v>86</v>
      </c>
      <c r="Z36" s="211"/>
      <c r="AA36" s="212"/>
      <c r="BB36" s="8" t="n">
        <f aca="false">IF(A36="","",1)</f>
        <v>1</v>
      </c>
    </row>
    <row r="37" customFormat="false" ht="12.75" hidden="false" customHeight="false" outlineLevel="0" collapsed="false">
      <c r="A37" s="221"/>
      <c r="B37" s="222"/>
      <c r="C37" s="213"/>
      <c r="D37" s="214" t="str">
        <f aca="false">IF(ISERROR(VLOOKUP($A37,'[1]liste reference'!$A$7:$D$906,2,0)),IF(ISERROR(VLOOKUP($A37,'[1]liste reference'!$B$7:$D$906,1,0)),"",VLOOKUP($A37,'[1]liste reference'!$B$7:$D$906,1,0)),VLOOKUP($A37,'[1]liste reference'!$A$7:$D$906,2,0))</f>
        <v/>
      </c>
      <c r="E37" s="214" t="n">
        <f aca="false">IF(D37="",0,VLOOKUP(D37,D$22:D36,1,0))</f>
        <v>0</v>
      </c>
      <c r="F37" s="225" t="n">
        <f aca="false">($B37*$B$7+$C37*$C$7)/100</f>
        <v>0</v>
      </c>
      <c r="G37" s="216" t="str">
        <f aca="false">IF(A37="","",IF(ISERROR(VLOOKUP($A37,'[1]liste reference'!$A$7:$P$906,13,0)),IF(ISERROR(VLOOKUP($A37,'[1]liste reference'!$B$7:$P$906,12,0)),"    -",VLOOKUP($A37,'[1]liste reference'!$B$7:$P$906,12,0)),VLOOKUP($A37,'[1]liste reference'!$A$7:$P$906,13,0)))</f>
        <v/>
      </c>
      <c r="H37" s="200" t="str">
        <f aca="false">IF(A37="","x",IF(ISERROR(VLOOKUP($A37,'[1]liste reference'!$A$7:$P$906,14,0)),IF(ISERROR(VLOOKUP($A37,'[1]liste reference'!$B$7:$P$906,13,0)),"x",VLOOKUP($A37,'[1]liste reference'!$B$7:$P$906,13,0)),VLOOKUP($A37,'[1]liste reference'!$A$7:$P$906,14,0)))</f>
        <v>x</v>
      </c>
      <c r="I37" s="217"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8" t="str">
        <f aca="false">IF(A37="NEW.COD",AA37,IF(ISTEXT($E37),"DEJA SAISI !",IF(A37="","",IF(ISERROR(VLOOKUP($A37,'[1]liste reference'!$A$7:$D$906,2,0)),IF(ISERROR(VLOOKUP($A37,'[1]liste reference'!$B$7:$D$906,1,0)),"code non répertorié ou synonyme",VLOOKUP($A37,'[1]liste reference'!$B$7:$D$906,1,0)),VLOOKUP(A37,'[1]liste reference'!$A$7:$D$906,2,0)))))</f>
        <v/>
      </c>
      <c r="L37" s="219"/>
      <c r="M37" s="219"/>
      <c r="N37" s="219"/>
      <c r="O37" s="205"/>
      <c r="P37" s="206" t="str">
        <f aca="false">IF(ISTEXT(H37),"",(B37*$B$7/100)+(C37*$C$7/100))</f>
        <v/>
      </c>
      <c r="Q37" s="207" t="str">
        <f aca="false">IF(OR(ISTEXT(H37),P37=0),"",IF(P37&lt;0.1,1,IF(P37&lt;1,2,IF(P37&lt;10,3,IF(P37&lt;50,4,IF(P37&gt;=50,5,""))))))</f>
        <v/>
      </c>
      <c r="R37" s="207" t="n">
        <f aca="false">IF(ISERROR(Q37*I37),0,Q37*I37)</f>
        <v>0</v>
      </c>
      <c r="S37" s="207" t="n">
        <f aca="false">IF(ISERROR(Q37*I37*J37),0,Q37*I37*J37)</f>
        <v>0</v>
      </c>
      <c r="T37" s="220" t="n">
        <f aca="false">IF(ISERROR(Q37*J37),0,Q37*J37)</f>
        <v>0</v>
      </c>
      <c r="U37" s="208" t="str">
        <f aca="false">IF(AND(A37="",F37=0),"",IF(F37=0,"Il manque le(s) % de rec. !",""))</f>
        <v/>
      </c>
      <c r="V37" s="209"/>
      <c r="X37" s="207" t="str">
        <f aca="false">IF(A37="new.cod","NEW.COD",IF(AND((Y37=""),ISTEXT(A37)),A37,IF(Y37="","",INDEX('[1]liste reference'!$A$7:$A$906,Y37))))</f>
        <v/>
      </c>
      <c r="Y37" s="8" t="str">
        <f aca="false">IF(ISERROR(MATCH(A37,'[1]liste reference'!$A$7:$A$906,0)),IF(ISERROR(MATCH(A37,'[1]liste reference'!$B$7:$B$906,0)),"",(MATCH(A37,'[1]liste reference'!$B$7:$B$906,0))),(MATCH(A37,'[1]liste reference'!$A$7:$A$906,0)))</f>
        <v/>
      </c>
      <c r="Z37" s="211"/>
      <c r="AA37" s="212"/>
      <c r="BB37" s="8" t="str">
        <f aca="false">IF(A37="","",1)</f>
        <v/>
      </c>
    </row>
    <row r="38" customFormat="false" ht="12.75" hidden="false" customHeight="false" outlineLevel="0" collapsed="false">
      <c r="A38" s="221" t="s">
        <v>85</v>
      </c>
      <c r="B38" s="222" t="n">
        <v>0.02</v>
      </c>
      <c r="C38" s="213" t="n">
        <v>0.04</v>
      </c>
      <c r="D38" s="214" t="str">
        <f aca="false">IF(ISERROR(VLOOKUP($A38,'[1]liste reference'!$A$7:$D$906,2,0)),IF(ISERROR(VLOOKUP($A38,'[1]liste reference'!$B$7:$D$906,1,0)),"",VLOOKUP($A38,'[1]liste reference'!$B$7:$D$906,1,0)),VLOOKUP($A38,'[1]liste reference'!$A$7:$D$906,2,0))</f>
        <v>Marchantia polymorpha</v>
      </c>
      <c r="E38" s="214" t="e">
        <f aca="false">IF(D38="",0,VLOOKUP(D38,D$22:D37,1,0))</f>
        <v>#N/A</v>
      </c>
      <c r="F38" s="225" t="n">
        <f aca="false">($B38*$B$7+$C38*$C$7)/100</f>
        <v>0.027</v>
      </c>
      <c r="G38" s="216" t="str">
        <f aca="false">IF(A38="","",IF(ISERROR(VLOOKUP($A38,'[1]liste reference'!$A$7:$P$906,13,0)),IF(ISERROR(VLOOKUP($A38,'[1]liste reference'!$B$7:$P$906,12,0)),"    -",VLOOKUP($A38,'[1]liste reference'!$B$7:$P$906,12,0)),VLOOKUP($A38,'[1]liste reference'!$A$7:$P$906,13,0)))</f>
        <v>BRh</v>
      </c>
      <c r="H38" s="200" t="n">
        <f aca="false">IF(A38="","x",IF(ISERROR(VLOOKUP($A38,'[1]liste reference'!$A$7:$P$906,14,0)),IF(ISERROR(VLOOKUP($A38,'[1]liste reference'!$B$7:$P$906,13,0)),"x",VLOOKUP($A38,'[1]liste reference'!$B$7:$P$906,13,0)),VLOOKUP($A38,'[1]liste reference'!$A$7:$P$906,14,0)))</f>
        <v>4</v>
      </c>
      <c r="I38" s="217" t="str">
        <f aca="false">IF(ISNUMBER(H38),IF(ISERROR(VLOOKUP($A38,'[1]liste reference'!$A$7:$P$906,3,0)),IF(ISERROR(VLOOKUP($A38,'[1]liste reference'!$B$7:$P$906,2,0)),"",VLOOKUP($A38,'[1]liste reference'!$B$7:$P$906,2,0)),VLOOKUP($A38,'[1]liste reference'!$A$7:$P$906,3,0)),"")</f>
        <v/>
      </c>
      <c r="J38" s="202" t="str">
        <f aca="false">IF(ISNUMBER(H38),IF(ISERROR(VLOOKUP($A38,'[1]liste reference'!$A$7:$P$906,4,0)),IF(ISERROR(VLOOKUP($A38,'[1]liste reference'!$B$7:$P$906,3,0)),"",VLOOKUP($A38,'[1]liste reference'!$B$7:$P$906,3,0)),VLOOKUP($A38,'[1]liste reference'!$A$7:$P$906,4,0)),"")</f>
        <v/>
      </c>
      <c r="K38" s="218" t="str">
        <f aca="false">IF(A38="NEW.COD",AA38,IF(ISTEXT($E38),"DEJA SAISI !",IF(A38="","",IF(ISERROR(VLOOKUP($A38,'[1]liste reference'!$A$7:$D$906,2,0)),IF(ISERROR(VLOOKUP($A38,'[1]liste reference'!$B$7:$D$906,1,0)),"code non répertorié ou synonyme",VLOOKUP($A38,'[1]liste reference'!$B$7:$D$906,1,0)),VLOOKUP(A38,'[1]liste reference'!$A$7:$D$906,2,0)))))</f>
        <v>Marchantia polymorpha</v>
      </c>
      <c r="L38" s="219"/>
      <c r="M38" s="219"/>
      <c r="N38" s="219"/>
      <c r="O38" s="205"/>
      <c r="P38" s="206" t="n">
        <f aca="false">IF(ISTEXT(H38),"",(B38*$B$7/100)+(C38*$C$7/100))</f>
        <v>0.027</v>
      </c>
      <c r="Q38" s="207" t="n">
        <f aca="false">IF(OR(ISTEXT(H38),P38=0),"",IF(P38&lt;0.1,1,IF(P38&lt;1,2,IF(P38&lt;10,3,IF(P38&lt;50,4,IF(P38&gt;=50,5,""))))))</f>
        <v>1</v>
      </c>
      <c r="R38" s="207" t="n">
        <f aca="false">IF(ISERROR(Q38*I38),0,Q38*I38)</f>
        <v>0</v>
      </c>
      <c r="S38" s="207" t="n">
        <f aca="false">IF(ISERROR(Q38*I38*J38),0,Q38*I38*J38)</f>
        <v>0</v>
      </c>
      <c r="T38" s="220" t="n">
        <f aca="false">IF(ISERROR(Q38*J38),0,Q38*J38)</f>
        <v>0</v>
      </c>
      <c r="U38" s="208" t="str">
        <f aca="false">IF(AND(A38="",F38=0),"",IF(F38=0,"Il manque le(s) % de rec. !",""))</f>
        <v/>
      </c>
      <c r="V38" s="209"/>
      <c r="W38" s="209"/>
      <c r="X38" s="207" t="str">
        <f aca="false">IF(A38="new.cod","NEW.COD",IF(AND((Y38=""),ISTEXT(A38)),A38,IF(Y38="","",INDEX('[1]liste reference'!$A$7:$A$906,Y38))))</f>
        <v>MAC.POL</v>
      </c>
      <c r="Y38" s="8" t="n">
        <f aca="false">IF(ISERROR(MATCH(A38,'[1]liste reference'!$A$7:$A$906,0)),IF(ISERROR(MATCH(A38,'[1]liste reference'!$B$7:$B$906,0)),"",(MATCH(A38,'[1]liste reference'!$B$7:$B$906,0))),(MATCH(A38,'[1]liste reference'!$A$7:$A$906,0)))</f>
        <v>112</v>
      </c>
      <c r="Z38" s="211"/>
      <c r="AA38" s="212"/>
      <c r="BB38" s="8" t="n">
        <f aca="false">IF(A38="","",1)</f>
        <v>1</v>
      </c>
    </row>
    <row r="39" customFormat="false" ht="12.75" hidden="false" customHeight="false" outlineLevel="0" collapsed="false">
      <c r="A39" s="221"/>
      <c r="B39" s="222"/>
      <c r="C39" s="213"/>
      <c r="D39" s="214" t="str">
        <f aca="false">IF(ISERROR(VLOOKUP($A39,'[1]liste reference'!$A$7:$D$906,2,0)),IF(ISERROR(VLOOKUP($A39,'[1]liste reference'!$B$7:$D$906,1,0)),"",VLOOKUP($A39,'[1]liste reference'!$B$7:$D$906,1,0)),VLOOKUP($A39,'[1]liste reference'!$A$7:$D$906,2,0))</f>
        <v/>
      </c>
      <c r="E39" s="214" t="n">
        <f aca="false">IF(D39="",0,VLOOKUP(D39,D$22:D38,1,0))</f>
        <v>0</v>
      </c>
      <c r="F39" s="225" t="n">
        <f aca="false">($B39*$B$7+$C39*$C$7)/100</f>
        <v>0</v>
      </c>
      <c r="G39" s="216"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7"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8" t="str">
        <f aca="false">IF(A39="NEW.COD",AA39,IF(ISTEXT($E39),"DEJA SAISI !",IF(A39="","",IF(ISERROR(VLOOKUP($A39,'[1]liste reference'!$A$7:$D$906,2,0)),IF(ISERROR(VLOOKUP($A39,'[1]liste reference'!$B$7:$D$906,1,0)),"code non répertorié ou synonyme",VLOOKUP($A39,'[1]liste reference'!$B$7:$D$906,1,0)),VLOOKUP(A39,'[1]liste reference'!$A$7:$D$906,2,0)))))</f>
        <v/>
      </c>
      <c r="L39" s="219"/>
      <c r="M39" s="219"/>
      <c r="N39" s="219"/>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0" t="n">
        <f aca="false">IF(ISERROR(Q39*J39),0,Q39*J39)</f>
        <v>0</v>
      </c>
      <c r="U39" s="208" t="str">
        <f aca="false">IF(AND(A39="",F39=0),"",IF(F39=0,"Il manque le(s) % de rec. !",""))</f>
        <v/>
      </c>
      <c r="V39" s="226"/>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1"/>
      <c r="AA39" s="212"/>
      <c r="BB39" s="8" t="str">
        <f aca="false">IF(A39="","",1)</f>
        <v/>
      </c>
    </row>
    <row r="40" customFormat="false" ht="12.75" hidden="false" customHeight="false" outlineLevel="0" collapsed="false">
      <c r="A40" s="221" t="s">
        <v>86</v>
      </c>
      <c r="B40" s="222" t="n">
        <v>0.8</v>
      </c>
      <c r="C40" s="213"/>
      <c r="D40" s="214" t="str">
        <f aca="false">IF(ISERROR(VLOOKUP($A40,'[1]liste reference'!$A$7:$D$906,2,0)),IF(ISERROR(VLOOKUP($A40,'[1]liste reference'!$B$7:$D$906,1,0)),"",VLOOKUP($A40,'[1]liste reference'!$B$7:$D$906,1,0)),VLOOKUP($A40,'[1]liste reference'!$A$7:$D$906,2,0))</f>
        <v>Amblystegium fluviatile (Hygroamblystegium fluviatile)</v>
      </c>
      <c r="E40" s="214" t="e">
        <f aca="false">IF(D40="",0,VLOOKUP(D40,D$22:D39,1,0))</f>
        <v>#N/A</v>
      </c>
      <c r="F40" s="225" t="n">
        <f aca="false">($B40*$B$7+$C40*$C$7)/100</f>
        <v>0.52</v>
      </c>
      <c r="G40" s="216" t="str">
        <f aca="false">IF(A40="","",IF(ISERROR(VLOOKUP($A40,'[1]liste reference'!$A$7:$P$906,13,0)),IF(ISERROR(VLOOKUP($A40,'[1]liste reference'!$B$7:$P$906,12,0)),"    -",VLOOKUP($A40,'[1]liste reference'!$B$7:$P$906,12,0)),VLOOKUP($A40,'[1]liste reference'!$A$7:$P$906,13,0)))</f>
        <v>BRm</v>
      </c>
      <c r="H40" s="200" t="n">
        <f aca="false">IF(A40="","x",IF(ISERROR(VLOOKUP($A40,'[1]liste reference'!$A$7:$P$906,14,0)),IF(ISERROR(VLOOKUP($A40,'[1]liste reference'!$B$7:$P$906,13,0)),"x",VLOOKUP($A40,'[1]liste reference'!$B$7:$P$906,13,0)),VLOOKUP($A40,'[1]liste reference'!$A$7:$P$906,14,0)))</f>
        <v>5</v>
      </c>
      <c r="I40" s="217" t="n">
        <f aca="false">IF(ISNUMBER(H40),IF(ISERROR(VLOOKUP($A40,'[1]liste reference'!$A$7:$P$906,3,0)),IF(ISERROR(VLOOKUP($A40,'[1]liste reference'!$B$7:$P$906,2,0)),"",VLOOKUP($A40,'[1]liste reference'!$B$7:$P$906,2,0)),VLOOKUP($A40,'[1]liste reference'!$A$7:$P$906,3,0)),"")</f>
        <v>11</v>
      </c>
      <c r="J40" s="202" t="n">
        <f aca="false">IF(ISNUMBER(H40),IF(ISERROR(VLOOKUP($A40,'[1]liste reference'!$A$7:$P$906,4,0)),IF(ISERROR(VLOOKUP($A40,'[1]liste reference'!$B$7:$P$906,3,0)),"",VLOOKUP($A40,'[1]liste reference'!$B$7:$P$906,3,0)),VLOOKUP($A40,'[1]liste reference'!$A$7:$P$906,4,0)),"")</f>
        <v>2</v>
      </c>
      <c r="K40" s="218" t="str">
        <f aca="false">IF(A40="NEW.COD",AA40,IF(ISTEXT($E40),"DEJA SAISI !",IF(A40="","",IF(ISERROR(VLOOKUP($A40,'[1]liste reference'!$A$7:$D$906,2,0)),IF(ISERROR(VLOOKUP($A40,'[1]liste reference'!$B$7:$D$906,1,0)),"code non répertorié ou synonyme",VLOOKUP($A40,'[1]liste reference'!$B$7:$D$906,1,0)),VLOOKUP(A40,'[1]liste reference'!$A$7:$D$906,2,0)))))</f>
        <v>Amblystegium fluviatile (Hygroamblystegium fluviatile)</v>
      </c>
      <c r="L40" s="219"/>
      <c r="M40" s="219"/>
      <c r="N40" s="219"/>
      <c r="O40" s="205"/>
      <c r="P40" s="206" t="n">
        <f aca="false">IF(ISTEXT(H40),"",(B40*$B$7/100)+(C40*$C$7/100))</f>
        <v>0.52</v>
      </c>
      <c r="Q40" s="207" t="n">
        <f aca="false">IF(OR(ISTEXT(H40),P40=0),"",IF(P40&lt;0.1,1,IF(P40&lt;1,2,IF(P40&lt;10,3,IF(P40&lt;50,4,IF(P40&gt;=50,5,""))))))</f>
        <v>2</v>
      </c>
      <c r="R40" s="207" t="n">
        <f aca="false">IF(ISERROR(Q40*I40),0,Q40*I40)</f>
        <v>22</v>
      </c>
      <c r="S40" s="207" t="n">
        <f aca="false">IF(ISERROR(Q40*I40*J40),0,Q40*I40*J40)</f>
        <v>44</v>
      </c>
      <c r="T40" s="220" t="n">
        <f aca="false">IF(ISERROR(Q40*J40),0,Q40*J40)</f>
        <v>4</v>
      </c>
      <c r="U40" s="208" t="str">
        <f aca="false">IF(AND(A40="",F40=0),"",IF(F40=0,"Il manque le(s) % de rec. !",""))</f>
        <v/>
      </c>
      <c r="V40" s="209"/>
      <c r="X40" s="207" t="str">
        <f aca="false">IF(A40="new.cod","NEW.COD",IF(AND((Y40=""),ISTEXT(A40)),A40,IF(Y40="","",INDEX('[1]liste reference'!$A$7:$A$906,Y40))))</f>
        <v>AMB.FLU</v>
      </c>
      <c r="Y40" s="8" t="n">
        <f aca="false">IF(ISERROR(MATCH(A40,'[1]liste reference'!$A$7:$A$906,0)),IF(ISERROR(MATCH(A40,'[1]liste reference'!$B$7:$B$906,0)),"",(MATCH(A40,'[1]liste reference'!$B$7:$B$906,0))),(MATCH(A40,'[1]liste reference'!$A$7:$A$906,0)))</f>
        <v>148</v>
      </c>
      <c r="Z40" s="211"/>
      <c r="AA40" s="212"/>
      <c r="BB40" s="8" t="n">
        <f aca="false">IF(A40="","",1)</f>
        <v>1</v>
      </c>
    </row>
    <row r="41" customFormat="false" ht="12.75" hidden="false" customHeight="false" outlineLevel="0" collapsed="false">
      <c r="A41" s="221" t="s">
        <v>87</v>
      </c>
      <c r="B41" s="222" t="n">
        <v>2</v>
      </c>
      <c r="C41" s="213" t="n">
        <v>0.04</v>
      </c>
      <c r="D41" s="214" t="str">
        <f aca="false">IF(ISERROR(VLOOKUP($A41,'[1]liste reference'!$A$7:$D$906,2,0)),IF(ISERROR(VLOOKUP($A41,'[1]liste reference'!$B$7:$D$906,1,0)),"",VLOOKUP($A41,'[1]liste reference'!$B$7:$D$906,1,0)),VLOOKUP($A41,'[1]liste reference'!$A$7:$D$906,2,0))</f>
        <v>Brachythecium rivulare</v>
      </c>
      <c r="E41" s="214" t="e">
        <f aca="false">IF(D41="",0,VLOOKUP(D41,D$22:D40,1,0))</f>
        <v>#N/A</v>
      </c>
      <c r="F41" s="225" t="n">
        <f aca="false">($B41*$B$7+$C41*$C$7)/100</f>
        <v>1.314</v>
      </c>
      <c r="G41" s="216" t="str">
        <f aca="false">IF(A41="","",IF(ISERROR(VLOOKUP($A41,'[1]liste reference'!$A$7:$P$906,13,0)),IF(ISERROR(VLOOKUP($A41,'[1]liste reference'!$B$7:$P$906,12,0)),"    -",VLOOKUP($A41,'[1]liste reference'!$B$7:$P$906,12,0)),VLOOKUP($A41,'[1]liste reference'!$A$7:$P$906,13,0)))</f>
        <v>BRm</v>
      </c>
      <c r="H41" s="200" t="n">
        <f aca="false">IF(A41="","x",IF(ISERROR(VLOOKUP($A41,'[1]liste reference'!$A$7:$P$906,14,0)),IF(ISERROR(VLOOKUP($A41,'[1]liste reference'!$B$7:$P$906,13,0)),"x",VLOOKUP($A41,'[1]liste reference'!$B$7:$P$906,13,0)),VLOOKUP($A41,'[1]liste reference'!$A$7:$P$906,14,0)))</f>
        <v>5</v>
      </c>
      <c r="I41" s="217" t="n">
        <f aca="false">IF(ISNUMBER(H41),IF(ISERROR(VLOOKUP($A41,'[1]liste reference'!$A$7:$P$906,3,0)),IF(ISERROR(VLOOKUP($A41,'[1]liste reference'!$B$7:$P$906,2,0)),"",VLOOKUP($A41,'[1]liste reference'!$B$7:$P$906,2,0)),VLOOKUP($A41,'[1]liste reference'!$A$7:$P$906,3,0)),"")</f>
        <v>15</v>
      </c>
      <c r="J41" s="202" t="n">
        <f aca="false">IF(ISNUMBER(H41),IF(ISERROR(VLOOKUP($A41,'[1]liste reference'!$A$7:$P$906,4,0)),IF(ISERROR(VLOOKUP($A41,'[1]liste reference'!$B$7:$P$906,3,0)),"",VLOOKUP($A41,'[1]liste reference'!$B$7:$P$906,3,0)),VLOOKUP($A41,'[1]liste reference'!$A$7:$P$906,4,0)),"")</f>
        <v>2</v>
      </c>
      <c r="K41" s="218" t="str">
        <f aca="false">IF(A41="NEW.COD",AA41,IF(ISTEXT($E41),"DEJA SAISI !",IF(A41="","",IF(ISERROR(VLOOKUP($A41,'[1]liste reference'!$A$7:$D$906,2,0)),IF(ISERROR(VLOOKUP($A41,'[1]liste reference'!$B$7:$D$906,1,0)),"code non répertorié ou synonyme",VLOOKUP($A41,'[1]liste reference'!$B$7:$D$906,1,0)),VLOOKUP(A41,'[1]liste reference'!$A$7:$D$906,2,0)))))</f>
        <v>Brachythecium rivulare</v>
      </c>
      <c r="L41" s="219"/>
      <c r="M41" s="219"/>
      <c r="N41" s="219"/>
      <c r="O41" s="205"/>
      <c r="P41" s="206" t="n">
        <f aca="false">IF(ISTEXT(H41),"",(B41*$B$7/100)+(C41*$C$7/100))</f>
        <v>1.314</v>
      </c>
      <c r="Q41" s="207" t="n">
        <f aca="false">IF(OR(ISTEXT(H41),P41=0),"",IF(P41&lt;0.1,1,IF(P41&lt;1,2,IF(P41&lt;10,3,IF(P41&lt;50,4,IF(P41&gt;=50,5,""))))))</f>
        <v>3</v>
      </c>
      <c r="R41" s="207" t="n">
        <f aca="false">IF(ISERROR(Q41*I41),0,Q41*I41)</f>
        <v>45</v>
      </c>
      <c r="S41" s="207" t="n">
        <f aca="false">IF(ISERROR(Q41*I41*J41),0,Q41*I41*J41)</f>
        <v>90</v>
      </c>
      <c r="T41" s="220" t="n">
        <f aca="false">IF(ISERROR(Q41*J41),0,Q41*J41)</f>
        <v>6</v>
      </c>
      <c r="U41" s="208" t="str">
        <f aca="false">IF(AND(A41="",F41=0),"",IF(F41=0,"Il manque le(s) % de rec. !",""))</f>
        <v/>
      </c>
      <c r="V41" s="209"/>
      <c r="X41" s="207" t="str">
        <f aca="false">IF(A41="new.cod","NEW.COD",IF(AND((Y41=""),ISTEXT(A41)),A41,IF(Y41="","",INDEX('[1]liste reference'!$A$7:$A$906,Y41))))</f>
        <v>BRA.RIV</v>
      </c>
      <c r="Y41" s="8" t="n">
        <f aca="false">IF(ISERROR(MATCH(A41,'[1]liste reference'!$A$7:$A$906,0)),IF(ISERROR(MATCH(A41,'[1]liste reference'!$B$7:$B$906,0)),"",(MATCH(A41,'[1]liste reference'!$B$7:$B$906,0))),(MATCH(A41,'[1]liste reference'!$A$7:$A$906,0)))</f>
        <v>156</v>
      </c>
      <c r="Z41" s="211"/>
      <c r="AA41" s="212"/>
      <c r="BB41" s="8" t="n">
        <f aca="false">IF(A41="","",1)</f>
        <v>1</v>
      </c>
    </row>
    <row r="42" customFormat="false" ht="12.75" hidden="false" customHeight="false" outlineLevel="0" collapsed="false">
      <c r="A42" s="221" t="s">
        <v>88</v>
      </c>
      <c r="B42" s="222" t="n">
        <v>0.02</v>
      </c>
      <c r="C42" s="213" t="n">
        <v>0.04</v>
      </c>
      <c r="D42" s="214" t="str">
        <f aca="false">IF(ISERROR(VLOOKUP($A42,'[1]liste reference'!$A$7:$D$906,2,0)),IF(ISERROR(VLOOKUP($A42,'[1]liste reference'!$B$7:$D$906,1,0)),"",VLOOKUP($A42,'[1]liste reference'!$B$7:$D$906,1,0)),VLOOKUP($A42,'[1]liste reference'!$A$7:$D$906,2,0))</f>
        <v>Bryum pseudotriquetrum</v>
      </c>
      <c r="E42" s="214" t="e">
        <f aca="false">IF(D42="",0,VLOOKUP(D42,D$22:D41,1,0))</f>
        <v>#N/A</v>
      </c>
      <c r="F42" s="225" t="n">
        <f aca="false">($B42*$B$7+$C42*$C$7)/100</f>
        <v>0.027</v>
      </c>
      <c r="G42" s="216" t="str">
        <f aca="false">IF(A42="","",IF(ISERROR(VLOOKUP($A42,'[1]liste reference'!$A$7:$P$906,13,0)),IF(ISERROR(VLOOKUP($A42,'[1]liste reference'!$B$7:$P$906,12,0)),"    -",VLOOKUP($A42,'[1]liste reference'!$B$7:$P$906,12,0)),VLOOKUP($A42,'[1]liste reference'!$A$7:$P$906,13,0)))</f>
        <v>BRm</v>
      </c>
      <c r="H42" s="200" t="n">
        <f aca="false">IF(A42="","x",IF(ISERROR(VLOOKUP($A42,'[1]liste reference'!$A$7:$P$906,14,0)),IF(ISERROR(VLOOKUP($A42,'[1]liste reference'!$B$7:$P$906,13,0)),"x",VLOOKUP($A42,'[1]liste reference'!$B$7:$P$906,13,0)),VLOOKUP($A42,'[1]liste reference'!$A$7:$P$906,14,0)))</f>
        <v>5</v>
      </c>
      <c r="I42" s="217"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8" t="str">
        <f aca="false">IF(A42="NEW.COD",AA42,IF(ISTEXT($E42),"DEJA SAISI !",IF(A42="","",IF(ISERROR(VLOOKUP($A42,'[1]liste reference'!$A$7:$D$906,2,0)),IF(ISERROR(VLOOKUP($A42,'[1]liste reference'!$B$7:$D$906,1,0)),"code non répertorié ou synonyme",VLOOKUP($A42,'[1]liste reference'!$B$7:$D$906,1,0)),VLOOKUP(A42,'[1]liste reference'!$A$7:$D$906,2,0)))))</f>
        <v>Bryum pseudotriquetrum</v>
      </c>
      <c r="L42" s="219"/>
      <c r="M42" s="219"/>
      <c r="N42" s="219"/>
      <c r="O42" s="205"/>
      <c r="P42" s="206" t="n">
        <f aca="false">IF(ISTEXT(H42),"",(B42*$B$7/100)+(C42*$C$7/100))</f>
        <v>0.027</v>
      </c>
      <c r="Q42" s="207" t="n">
        <f aca="false">IF(OR(ISTEXT(H42),P42=0),"",IF(P42&lt;0.1,1,IF(P42&lt;1,2,IF(P42&lt;10,3,IF(P42&lt;50,4,IF(P42&gt;=50,5,""))))))</f>
        <v>1</v>
      </c>
      <c r="R42" s="207" t="n">
        <f aca="false">IF(ISERROR(Q42*I42),0,Q42*I42)</f>
        <v>0</v>
      </c>
      <c r="S42" s="207" t="n">
        <f aca="false">IF(ISERROR(Q42*I42*J42),0,Q42*I42*J42)</f>
        <v>0</v>
      </c>
      <c r="T42" s="220" t="n">
        <f aca="false">IF(ISERROR(Q42*J42),0,Q42*J42)</f>
        <v>0</v>
      </c>
      <c r="U42" s="208" t="str">
        <f aca="false">IF(AND(A42="",F42=0),"",IF(F42=0,"Il manque le(s) % de rec. !",""))</f>
        <v/>
      </c>
      <c r="V42" s="209"/>
      <c r="X42" s="207" t="str">
        <f aca="false">IF(A42="new.cod","NEW.COD",IF(AND((Y42=""),ISTEXT(A42)),A42,IF(Y42="","",INDEX('[1]liste reference'!$A$7:$A$906,Y42))))</f>
        <v>BRY.PSE</v>
      </c>
      <c r="Y42" s="8" t="n">
        <f aca="false">IF(ISERROR(MATCH(A42,'[1]liste reference'!$A$7:$A$906,0)),IF(ISERROR(MATCH(A42,'[1]liste reference'!$B$7:$B$906,0)),"",(MATCH(A42,'[1]liste reference'!$B$7:$B$906,0))),(MATCH(A42,'[1]liste reference'!$A$7:$A$906,0)))</f>
        <v>161</v>
      </c>
      <c r="Z42" s="211"/>
      <c r="AA42" s="212"/>
      <c r="BB42" s="8" t="n">
        <f aca="false">IF(A42="","",1)</f>
        <v>1</v>
      </c>
    </row>
    <row r="43" customFormat="false" ht="12.75" hidden="false" customHeight="false" outlineLevel="0" collapsed="false">
      <c r="A43" s="221" t="s">
        <v>89</v>
      </c>
      <c r="B43" s="222" t="n">
        <v>0.02</v>
      </c>
      <c r="C43" s="213" t="n">
        <v>0.01</v>
      </c>
      <c r="D43" s="214" t="str">
        <f aca="false">IF(ISERROR(VLOOKUP($A43,'[1]liste reference'!$A$7:$D$906,2,0)),IF(ISERROR(VLOOKUP($A43,'[1]liste reference'!$B$7:$D$906,1,0)),"",VLOOKUP($A43,'[1]liste reference'!$B$7:$D$906,1,0)),VLOOKUP($A43,'[1]liste reference'!$A$7:$D$906,2,0))</f>
        <v>Chiloscyphus polyanthos var. polyanthos (C. polyanthos)</v>
      </c>
      <c r="E43" s="214" t="e">
        <f aca="false">IF(D43="",0,VLOOKUP(D43,D$22:D42,1,0))</f>
        <v>#N/A</v>
      </c>
      <c r="F43" s="225" t="n">
        <f aca="false">($B43*$B$7+$C43*$C$7)/100</f>
        <v>0.0165</v>
      </c>
      <c r="G43" s="216" t="str">
        <f aca="false">IF(A43="","",IF(ISERROR(VLOOKUP($A43,'[1]liste reference'!$A$7:$P$906,13,0)),IF(ISERROR(VLOOKUP($A43,'[1]liste reference'!$B$7:$P$906,12,0)),"    -",VLOOKUP($A43,'[1]liste reference'!$B$7:$P$906,12,0)),VLOOKUP($A43,'[1]liste reference'!$A$7:$P$906,13,0)))</f>
        <v>BRh</v>
      </c>
      <c r="H43" s="200" t="n">
        <f aca="false">IF(A43="","x",IF(ISERROR(VLOOKUP($A43,'[1]liste reference'!$A$7:$P$906,14,0)),IF(ISERROR(VLOOKUP($A43,'[1]liste reference'!$B$7:$P$906,13,0)),"x",VLOOKUP($A43,'[1]liste reference'!$B$7:$P$906,13,0)),VLOOKUP($A43,'[1]liste reference'!$A$7:$P$906,14,0)))</f>
        <v>4</v>
      </c>
      <c r="I43" s="217" t="n">
        <f aca="false">IF(ISNUMBER(H43),IF(ISERROR(VLOOKUP($A43,'[1]liste reference'!$A$7:$P$906,3,0)),IF(ISERROR(VLOOKUP($A43,'[1]liste reference'!$B$7:$P$906,2,0)),"",VLOOKUP($A43,'[1]liste reference'!$B$7:$P$906,2,0)),VLOOKUP($A43,'[1]liste reference'!$A$7:$P$906,3,0)),"")</f>
        <v>15</v>
      </c>
      <c r="J43" s="202" t="n">
        <f aca="false">IF(ISNUMBER(H43),IF(ISERROR(VLOOKUP($A43,'[1]liste reference'!$A$7:$P$906,4,0)),IF(ISERROR(VLOOKUP($A43,'[1]liste reference'!$B$7:$P$906,3,0)),"",VLOOKUP($A43,'[1]liste reference'!$B$7:$P$906,3,0)),VLOOKUP($A43,'[1]liste reference'!$A$7:$P$906,4,0)),"")</f>
        <v>2</v>
      </c>
      <c r="K43" s="218" t="str">
        <f aca="false">IF(A43="NEW.COD",AA43,IF(ISTEXT($E43),"DEJA SAISI !",IF(A43="","",IF(ISERROR(VLOOKUP($A43,'[1]liste reference'!$A$7:$D$906,2,0)),IF(ISERROR(VLOOKUP($A43,'[1]liste reference'!$B$7:$D$906,1,0)),"code non répertorié ou synonyme",VLOOKUP($A43,'[1]liste reference'!$B$7:$D$906,1,0)),VLOOKUP(A43,'[1]liste reference'!$A$7:$D$906,2,0)))))</f>
        <v>Chiloscyphus polyanthos var. polyanthos (C. polyanthos)</v>
      </c>
      <c r="L43" s="219"/>
      <c r="M43" s="219"/>
      <c r="N43" s="219"/>
      <c r="O43" s="205"/>
      <c r="P43" s="206" t="n">
        <f aca="false">IF(ISTEXT(H43),"",(B43*$B$7/100)+(C43*$C$7/100))</f>
        <v>0.0165</v>
      </c>
      <c r="Q43" s="207" t="n">
        <f aca="false">IF(OR(ISTEXT(H43),P43=0),"",IF(P43&lt;0.1,1,IF(P43&lt;1,2,IF(P43&lt;10,3,IF(P43&lt;50,4,IF(P43&gt;=50,5,""))))))</f>
        <v>1</v>
      </c>
      <c r="R43" s="207" t="n">
        <f aca="false">IF(ISERROR(Q43*I43),0,Q43*I43)</f>
        <v>15</v>
      </c>
      <c r="S43" s="207" t="n">
        <f aca="false">IF(ISERROR(Q43*I43*J43),0,Q43*I43*J43)</f>
        <v>30</v>
      </c>
      <c r="T43" s="220" t="n">
        <f aca="false">IF(ISERROR(Q43*J43),0,Q43*J43)</f>
        <v>2</v>
      </c>
      <c r="U43" s="208" t="str">
        <f aca="false">IF(AND(A43="",F43=0),"",IF(F43=0,"Il manque le(s) % de rec. !",""))</f>
        <v/>
      </c>
      <c r="V43" s="209"/>
      <c r="X43" s="207" t="str">
        <f aca="false">IF(A43="new.cod","NEW.COD",IF(AND((Y43=""),ISTEXT(A43)),A43,IF(Y43="","",INDEX('[1]liste reference'!$A$7:$A$906,Y43))))</f>
        <v>CHI.POL</v>
      </c>
      <c r="Y43" s="8" t="n">
        <f aca="false">IF(ISERROR(MATCH(A43,'[1]liste reference'!$A$7:$A$906,0)),IF(ISERROR(MATCH(A43,'[1]liste reference'!$B$7:$B$906,0)),"",(MATCH(A43,'[1]liste reference'!$B$7:$B$906,0))),(MATCH(A43,'[1]liste reference'!$A$7:$A$906,0)))</f>
        <v>98</v>
      </c>
      <c r="Z43" s="211"/>
      <c r="AA43" s="212"/>
      <c r="BB43" s="8" t="n">
        <f aca="false">IF(A43="","",1)</f>
        <v>1</v>
      </c>
    </row>
    <row r="44" customFormat="false" ht="12.75" hidden="false" customHeight="false" outlineLevel="0" collapsed="false">
      <c r="A44" s="221" t="s">
        <v>90</v>
      </c>
      <c r="B44" s="222" t="n">
        <v>0.03</v>
      </c>
      <c r="C44" s="213" t="n">
        <v>0.03</v>
      </c>
      <c r="D44" s="214" t="str">
        <f aca="false">IF(ISERROR(VLOOKUP($A44,'[1]liste reference'!$A$7:$D$906,2,0)),IF(ISERROR(VLOOKUP($A44,'[1]liste reference'!$B$7:$D$906,1,0)),"",VLOOKUP($A44,'[1]liste reference'!$B$7:$D$906,1,0)),VLOOKUP($A44,'[1]liste reference'!$A$7:$D$906,2,0))</f>
        <v>Fontinalis antipyretica</v>
      </c>
      <c r="E44" s="214" t="e">
        <f aca="false">IF(D44="",0,VLOOKUP(D44,D$22:D43,1,0))</f>
        <v>#N/A</v>
      </c>
      <c r="F44" s="225" t="n">
        <f aca="false">($B44*$B$7+$C44*$C$7)/100</f>
        <v>0.03</v>
      </c>
      <c r="G44" s="216" t="str">
        <f aca="false">IF(A44="","",IF(ISERROR(VLOOKUP($A44,'[1]liste reference'!$A$7:$P$906,13,0)),IF(ISERROR(VLOOKUP($A44,'[1]liste reference'!$B$7:$P$906,12,0)),"    -",VLOOKUP($A44,'[1]liste reference'!$B$7:$P$906,12,0)),VLOOKUP($A44,'[1]liste reference'!$A$7:$P$906,13,0)))</f>
        <v>BRm</v>
      </c>
      <c r="H44" s="200" t="n">
        <f aca="false">IF(A44="","x",IF(ISERROR(VLOOKUP($A44,'[1]liste reference'!$A$7:$P$906,14,0)),IF(ISERROR(VLOOKUP($A44,'[1]liste reference'!$B$7:$P$906,13,0)),"x",VLOOKUP($A44,'[1]liste reference'!$B$7:$P$906,13,0)),VLOOKUP($A44,'[1]liste reference'!$A$7:$P$906,14,0)))</f>
        <v>5</v>
      </c>
      <c r="I44" s="217" t="n">
        <f aca="false">IF(ISNUMBER(H44),IF(ISERROR(VLOOKUP($A44,'[1]liste reference'!$A$7:$P$906,3,0)),IF(ISERROR(VLOOKUP($A44,'[1]liste reference'!$B$7:$P$906,2,0)),"",VLOOKUP($A44,'[1]liste reference'!$B$7:$P$906,2,0)),VLOOKUP($A44,'[1]liste reference'!$A$7:$P$906,3,0)),"")</f>
        <v>10</v>
      </c>
      <c r="J44" s="202" t="n">
        <f aca="false">IF(ISNUMBER(H44),IF(ISERROR(VLOOKUP($A44,'[1]liste reference'!$A$7:$P$906,4,0)),IF(ISERROR(VLOOKUP($A44,'[1]liste reference'!$B$7:$P$906,3,0)),"",VLOOKUP($A44,'[1]liste reference'!$B$7:$P$906,3,0)),VLOOKUP($A44,'[1]liste reference'!$A$7:$P$906,4,0)),"")</f>
        <v>1</v>
      </c>
      <c r="K44" s="218" t="str">
        <f aca="false">IF(A44="NEW.COD",AA44,IF(ISTEXT($E44),"DEJA SAISI !",IF(A44="","",IF(ISERROR(VLOOKUP($A44,'[1]liste reference'!$A$7:$D$906,2,0)),IF(ISERROR(VLOOKUP($A44,'[1]liste reference'!$B$7:$D$906,1,0)),"code non répertorié ou synonyme",VLOOKUP($A44,'[1]liste reference'!$B$7:$D$906,1,0)),VLOOKUP(A44,'[1]liste reference'!$A$7:$D$906,2,0)))))</f>
        <v>Fontinalis antipyretica</v>
      </c>
      <c r="L44" s="219"/>
      <c r="M44" s="219"/>
      <c r="N44" s="219"/>
      <c r="O44" s="205"/>
      <c r="P44" s="206" t="n">
        <f aca="false">IF(ISTEXT(H44),"",(B44*$B$7/100)+(C44*$C$7/100))</f>
        <v>0.03</v>
      </c>
      <c r="Q44" s="207" t="n">
        <f aca="false">IF(OR(ISTEXT(H44),P44=0),"",IF(P44&lt;0.1,1,IF(P44&lt;1,2,IF(P44&lt;10,3,IF(P44&lt;50,4,IF(P44&gt;=50,5,""))))))</f>
        <v>1</v>
      </c>
      <c r="R44" s="207" t="n">
        <f aca="false">IF(ISERROR(Q44*I44),0,Q44*I44)</f>
        <v>10</v>
      </c>
      <c r="S44" s="207" t="n">
        <f aca="false">IF(ISERROR(Q44*I44*J44),0,Q44*I44*J44)</f>
        <v>10</v>
      </c>
      <c r="T44" s="220" t="n">
        <f aca="false">IF(ISERROR(Q44*J44),0,Q44*J44)</f>
        <v>1</v>
      </c>
      <c r="U44" s="208" t="str">
        <f aca="false">IF(AND(A44="",F44=0),"",IF(F44=0,"Il manque le(s) % de rec. !",""))</f>
        <v/>
      </c>
      <c r="V44" s="209"/>
      <c r="X44" s="207" t="str">
        <f aca="false">IF(A44="new.cod","NEW.COD",IF(AND((Y44=""),ISTEXT(A44)),A44,IF(Y44="","",INDEX('[1]liste reference'!$A$7:$A$906,Y44))))</f>
        <v>FON.ANT</v>
      </c>
      <c r="Y44" s="8" t="n">
        <f aca="false">IF(ISERROR(MATCH(A44,'[1]liste reference'!$A$7:$A$906,0)),IF(ISERROR(MATCH(A44,'[1]liste reference'!$B$7:$B$906,0)),"",(MATCH(A44,'[1]liste reference'!$B$7:$B$906,0))),(MATCH(A44,'[1]liste reference'!$A$7:$A$906,0)))</f>
        <v>211</v>
      </c>
      <c r="Z44" s="211"/>
      <c r="AA44" s="212"/>
      <c r="BB44" s="8" t="n">
        <f aca="false">IF(A44="","",1)</f>
        <v>1</v>
      </c>
    </row>
    <row r="45" customFormat="false" ht="12.75" hidden="false" customHeight="false" outlineLevel="0" collapsed="false">
      <c r="A45" s="221" t="s">
        <v>91</v>
      </c>
      <c r="B45" s="222" t="n">
        <v>0.02</v>
      </c>
      <c r="C45" s="213" t="n">
        <v>0.04</v>
      </c>
      <c r="D45" s="214" t="str">
        <f aca="false">IF(ISERROR(VLOOKUP($A45,'[1]liste reference'!$A$7:$D$906,2,0)),IF(ISERROR(VLOOKUP($A45,'[1]liste reference'!$B$7:$D$906,1,0)),"",VLOOKUP($A45,'[1]liste reference'!$B$7:$D$906,1,0)),VLOOKUP($A45,'[1]liste reference'!$A$7:$D$906,2,0))</f>
        <v>Philonotis fontana et autres espèces, exclusion P. calcarea (P. gr. fontana)</v>
      </c>
      <c r="E45" s="214" t="e">
        <f aca="false">IF(D45="",0,VLOOKUP(D45,D$22:D44,1,0))</f>
        <v>#N/A</v>
      </c>
      <c r="F45" s="225" t="n">
        <f aca="false">($B45*$B$7+$C45*$C$7)/100</f>
        <v>0.027</v>
      </c>
      <c r="G45" s="216" t="str">
        <f aca="false">IF(A45="","",IF(ISERROR(VLOOKUP($A45,'[1]liste reference'!$A$7:$P$906,13,0)),IF(ISERROR(VLOOKUP($A45,'[1]liste reference'!$B$7:$P$906,12,0)),"    -",VLOOKUP($A45,'[1]liste reference'!$B$7:$P$906,12,0)),VLOOKUP($A45,'[1]liste reference'!$A$7:$P$906,13,0)))</f>
        <v>BRm</v>
      </c>
      <c r="H45" s="200" t="n">
        <f aca="false">IF(A45="","x",IF(ISERROR(VLOOKUP($A45,'[1]liste reference'!$A$7:$P$906,14,0)),IF(ISERROR(VLOOKUP($A45,'[1]liste reference'!$B$7:$P$906,13,0)),"x",VLOOKUP($A45,'[1]liste reference'!$B$7:$P$906,13,0)),VLOOKUP($A45,'[1]liste reference'!$A$7:$P$906,14,0)))</f>
        <v>5</v>
      </c>
      <c r="I45" s="217" t="n">
        <f aca="false">IF(ISNUMBER(H45),IF(ISERROR(VLOOKUP($A45,'[1]liste reference'!$A$7:$P$906,3,0)),IF(ISERROR(VLOOKUP($A45,'[1]liste reference'!$B$7:$P$906,2,0)),"",VLOOKUP($A45,'[1]liste reference'!$B$7:$P$906,2,0)),VLOOKUP($A45,'[1]liste reference'!$A$7:$P$906,3,0)),"")</f>
        <v>18</v>
      </c>
      <c r="J45" s="202" t="n">
        <f aca="false">IF(ISNUMBER(H45),IF(ISERROR(VLOOKUP($A45,'[1]liste reference'!$A$7:$P$906,4,0)),IF(ISERROR(VLOOKUP($A45,'[1]liste reference'!$B$7:$P$906,3,0)),"",VLOOKUP($A45,'[1]liste reference'!$B$7:$P$906,3,0)),VLOOKUP($A45,'[1]liste reference'!$A$7:$P$906,4,0)),"")</f>
        <v>3</v>
      </c>
      <c r="K45" s="218" t="str">
        <f aca="false">IF(A45="NEW.COD",AA45,IF(ISTEXT($E45),"DEJA SAISI !",IF(A45="","",IF(ISERROR(VLOOKUP($A45,'[1]liste reference'!$A$7:$D$906,2,0)),IF(ISERROR(VLOOKUP($A45,'[1]liste reference'!$B$7:$D$906,1,0)),"code non répertorié ou synonyme",VLOOKUP($A45,'[1]liste reference'!$B$7:$D$906,1,0)),VLOOKUP(A45,'[1]liste reference'!$A$7:$D$906,2,0)))))</f>
        <v>Philonotis fontana et autres espèces, exclusion P. calcarea (P. gr. fontana)</v>
      </c>
      <c r="L45" s="219"/>
      <c r="M45" s="219"/>
      <c r="N45" s="219"/>
      <c r="O45" s="205"/>
      <c r="P45" s="206" t="n">
        <f aca="false">IF(ISTEXT(H45),"",(B45*$B$7/100)+(C45*$C$7/100))</f>
        <v>0.027</v>
      </c>
      <c r="Q45" s="207" t="n">
        <f aca="false">IF(OR(ISTEXT(H45),P45=0),"",IF(P45&lt;0.1,1,IF(P45&lt;1,2,IF(P45&lt;10,3,IF(P45&lt;50,4,IF(P45&gt;=50,5,""))))))</f>
        <v>1</v>
      </c>
      <c r="R45" s="207" t="n">
        <f aca="false">IF(ISERROR(Q45*I45),0,Q45*I45)</f>
        <v>18</v>
      </c>
      <c r="S45" s="207" t="n">
        <f aca="false">IF(ISERROR(Q45*I45*J45),0,Q45*I45*J45)</f>
        <v>54</v>
      </c>
      <c r="T45" s="220" t="n">
        <f aca="false">IF(ISERROR(Q45*J45),0,Q45*J45)</f>
        <v>3</v>
      </c>
      <c r="U45" s="208" t="str">
        <f aca="false">IF(AND(A45="",F45=0),"",IF(F45=0,"Il manque le(s) % de rec. !",""))</f>
        <v/>
      </c>
      <c r="V45" s="209"/>
      <c r="X45" s="207" t="str">
        <f aca="false">IF(A45="new.cod","NEW.COD",IF(AND((Y45=""),ISTEXT(A45)),A45,IF(Y45="","",INDEX('[1]liste reference'!$A$7:$A$906,Y45))))</f>
        <v>PHI.FON</v>
      </c>
      <c r="Y45" s="8" t="n">
        <f aca="false">IF(ISERROR(MATCH(A45,'[1]liste reference'!$A$7:$A$906,0)),IF(ISERROR(MATCH(A45,'[1]liste reference'!$B$7:$B$906,0)),"",(MATCH(A45,'[1]liste reference'!$B$7:$B$906,0))),(MATCH(A45,'[1]liste reference'!$A$7:$A$906,0)))</f>
        <v>233</v>
      </c>
      <c r="Z45" s="211"/>
      <c r="AA45" s="212"/>
      <c r="BB45" s="8" t="n">
        <f aca="false">IF(A45="","",1)</f>
        <v>1</v>
      </c>
    </row>
    <row r="46" customFormat="false" ht="12.75" hidden="false" customHeight="false" outlineLevel="0" collapsed="false">
      <c r="A46" s="221" t="s">
        <v>92</v>
      </c>
      <c r="B46" s="222" t="n">
        <v>0.5</v>
      </c>
      <c r="C46" s="213"/>
      <c r="D46" s="214" t="str">
        <f aca="false">IF(ISERROR(VLOOKUP($A46,'[1]liste reference'!$A$7:$D$906,2,0)),IF(ISERROR(VLOOKUP($A46,'[1]liste reference'!$B$7:$D$906,1,0)),"",VLOOKUP($A46,'[1]liste reference'!$B$7:$D$906,1,0)),VLOOKUP($A46,'[1]liste reference'!$A$7:$D$906,2,0))</f>
        <v>Rhynchostegium riparioides (Platyhypnidium rusciforme)</v>
      </c>
      <c r="E46" s="214" t="e">
        <f aca="false">IF(D46="",0,VLOOKUP(D46,D$22:D45,1,0))</f>
        <v>#N/A</v>
      </c>
      <c r="F46" s="225" t="n">
        <f aca="false">($B46*$B$7+$C46*$C$7)/100</f>
        <v>0.325</v>
      </c>
      <c r="G46" s="216" t="str">
        <f aca="false">IF(A46="","",IF(ISERROR(VLOOKUP($A46,'[1]liste reference'!$A$7:$P$906,13,0)),IF(ISERROR(VLOOKUP($A46,'[1]liste reference'!$B$7:$P$906,12,0)),"    -",VLOOKUP($A46,'[1]liste reference'!$B$7:$P$906,12,0)),VLOOKUP($A46,'[1]liste reference'!$A$7:$P$906,13,0)))</f>
        <v>BRm</v>
      </c>
      <c r="H46" s="200" t="n">
        <f aca="false">IF(A46="","x",IF(ISERROR(VLOOKUP($A46,'[1]liste reference'!$A$7:$P$906,14,0)),IF(ISERROR(VLOOKUP($A46,'[1]liste reference'!$B$7:$P$906,13,0)),"x",VLOOKUP($A46,'[1]liste reference'!$B$7:$P$906,13,0)),VLOOKUP($A46,'[1]liste reference'!$A$7:$P$906,14,0)))</f>
        <v>5</v>
      </c>
      <c r="I46" s="217" t="n">
        <f aca="false">IF(ISNUMBER(H46),IF(ISERROR(VLOOKUP($A46,'[1]liste reference'!$A$7:$P$906,3,0)),IF(ISERROR(VLOOKUP($A46,'[1]liste reference'!$B$7:$P$906,2,0)),"",VLOOKUP($A46,'[1]liste reference'!$B$7:$P$906,2,0)),VLOOKUP($A46,'[1]liste reference'!$A$7:$P$906,3,0)),"")</f>
        <v>12</v>
      </c>
      <c r="J46" s="202" t="n">
        <f aca="false">IF(ISNUMBER(H46),IF(ISERROR(VLOOKUP($A46,'[1]liste reference'!$A$7:$P$906,4,0)),IF(ISERROR(VLOOKUP($A46,'[1]liste reference'!$B$7:$P$906,3,0)),"",VLOOKUP($A46,'[1]liste reference'!$B$7:$P$906,3,0)),VLOOKUP($A46,'[1]liste reference'!$A$7:$P$906,4,0)),"")</f>
        <v>1</v>
      </c>
      <c r="K46" s="218" t="str">
        <f aca="false">IF(A46="NEW.COD",AA46,IF(ISTEXT($E46),"DEJA SAISI !",IF(A46="","",IF(ISERROR(VLOOKUP($A46,'[1]liste reference'!$A$7:$D$906,2,0)),IF(ISERROR(VLOOKUP($A46,'[1]liste reference'!$B$7:$D$906,1,0)),"code non répertorié ou synonyme",VLOOKUP($A46,'[1]liste reference'!$B$7:$D$906,1,0)),VLOOKUP(A46,'[1]liste reference'!$A$7:$D$906,2,0)))))</f>
        <v>Rhynchostegium riparioides (Platyhypnidium rusciforme)</v>
      </c>
      <c r="L46" s="219"/>
      <c r="M46" s="219"/>
      <c r="N46" s="219"/>
      <c r="O46" s="205"/>
      <c r="P46" s="206" t="n">
        <f aca="false">IF(ISTEXT(H46),"",(B46*$B$7/100)+(C46*$C$7/100))</f>
        <v>0.325</v>
      </c>
      <c r="Q46" s="207" t="n">
        <f aca="false">IF(OR(ISTEXT(H46),P46=0),"",IF(P46&lt;0.1,1,IF(P46&lt;1,2,IF(P46&lt;10,3,IF(P46&lt;50,4,IF(P46&gt;=50,5,""))))))</f>
        <v>2</v>
      </c>
      <c r="R46" s="207" t="n">
        <f aca="false">IF(ISERROR(Q46*I46),0,Q46*I46)</f>
        <v>24</v>
      </c>
      <c r="S46" s="207" t="n">
        <f aca="false">IF(ISERROR(Q46*I46*J46),0,Q46*I46*J46)</f>
        <v>24</v>
      </c>
      <c r="T46" s="220" t="n">
        <f aca="false">IF(ISERROR(Q46*J46),0,Q46*J46)</f>
        <v>2</v>
      </c>
      <c r="U46" s="208" t="str">
        <f aca="false">IF(AND(A46="",F46=0),"",IF(F46=0,"Il manque le(s) % de rec. !",""))</f>
        <v/>
      </c>
      <c r="V46" s="209"/>
      <c r="X46" s="207" t="str">
        <f aca="false">IF(A46="new.cod","NEW.COD",IF(AND((Y46=""),ISTEXT(A46)),A46,IF(Y46="","",INDEX('[1]liste reference'!$A$7:$A$906,Y46))))</f>
        <v>RHY.RIP</v>
      </c>
      <c r="Y46" s="8" t="n">
        <f aca="false">IF(ISERROR(MATCH(A46,'[1]liste reference'!$A$7:$A$906,0)),IF(ISERROR(MATCH(A46,'[1]liste reference'!$B$7:$B$906,0)),"",(MATCH(A46,'[1]liste reference'!$B$7:$B$906,0))),(MATCH(A46,'[1]liste reference'!$A$7:$A$906,0)))</f>
        <v>253</v>
      </c>
      <c r="Z46" s="211"/>
      <c r="AA46" s="212"/>
      <c r="BB46" s="8" t="n">
        <f aca="false">IF(A46="","",1)</f>
        <v>1</v>
      </c>
    </row>
    <row r="47" customFormat="false" ht="12.75" hidden="false" customHeight="false" outlineLevel="0" collapsed="false">
      <c r="A47" s="221" t="s">
        <v>93</v>
      </c>
      <c r="B47" s="222" t="n">
        <v>0.2</v>
      </c>
      <c r="C47" s="213" t="n">
        <v>0.05</v>
      </c>
      <c r="D47" s="214" t="str">
        <f aca="false">IF(ISERROR(VLOOKUP($A47,'[1]liste reference'!$A$7:$D$906,2,0)),IF(ISERROR(VLOOKUP($A47,'[1]liste reference'!$B$7:$D$906,1,0)),"",VLOOKUP($A47,'[1]liste reference'!$B$7:$D$906,1,0)),VLOOKUP($A47,'[1]liste reference'!$A$7:$D$906,2,0))</f>
        <v>Scapania undulata</v>
      </c>
      <c r="E47" s="214" t="e">
        <f aca="false">IF(D47="",0,VLOOKUP(D47,D$22:D46,1,0))</f>
        <v>#N/A</v>
      </c>
      <c r="F47" s="225" t="n">
        <f aca="false">($B47*$B$7+$C47*$C$7)/100</f>
        <v>0.1475</v>
      </c>
      <c r="G47" s="216" t="str">
        <f aca="false">IF(A47="","",IF(ISERROR(VLOOKUP($A47,'[1]liste reference'!$A$7:$P$906,13,0)),IF(ISERROR(VLOOKUP($A47,'[1]liste reference'!$B$7:$P$906,12,0)),"    -",VLOOKUP($A47,'[1]liste reference'!$B$7:$P$906,12,0)),VLOOKUP($A47,'[1]liste reference'!$A$7:$P$906,13,0)))</f>
        <v>BRh</v>
      </c>
      <c r="H47" s="200" t="n">
        <f aca="false">IF(A47="","x",IF(ISERROR(VLOOKUP($A47,'[1]liste reference'!$A$7:$P$906,14,0)),IF(ISERROR(VLOOKUP($A47,'[1]liste reference'!$B$7:$P$906,13,0)),"x",VLOOKUP($A47,'[1]liste reference'!$B$7:$P$906,13,0)),VLOOKUP($A47,'[1]liste reference'!$A$7:$P$906,14,0)))</f>
        <v>4</v>
      </c>
      <c r="I47" s="217" t="n">
        <f aca="false">IF(ISNUMBER(H47),IF(ISERROR(VLOOKUP($A47,'[1]liste reference'!$A$7:$P$906,3,0)),IF(ISERROR(VLOOKUP($A47,'[1]liste reference'!$B$7:$P$906,2,0)),"",VLOOKUP($A47,'[1]liste reference'!$B$7:$P$906,2,0)),VLOOKUP($A47,'[1]liste reference'!$A$7:$P$906,3,0)),"")</f>
        <v>17</v>
      </c>
      <c r="J47" s="202" t="n">
        <f aca="false">IF(ISNUMBER(H47),IF(ISERROR(VLOOKUP($A47,'[1]liste reference'!$A$7:$P$906,4,0)),IF(ISERROR(VLOOKUP($A47,'[1]liste reference'!$B$7:$P$906,3,0)),"",VLOOKUP($A47,'[1]liste reference'!$B$7:$P$906,3,0)),VLOOKUP($A47,'[1]liste reference'!$A$7:$P$906,4,0)),"")</f>
        <v>3</v>
      </c>
      <c r="K47" s="218" t="str">
        <f aca="false">IF(A47="NEW.COD",AA47,IF(ISTEXT($E47),"DEJA SAISI !",IF(A47="","",IF(ISERROR(VLOOKUP($A47,'[1]liste reference'!$A$7:$D$906,2,0)),IF(ISERROR(VLOOKUP($A47,'[1]liste reference'!$B$7:$D$906,1,0)),"code non répertorié ou synonyme",VLOOKUP($A47,'[1]liste reference'!$B$7:$D$906,1,0)),VLOOKUP(A47,'[1]liste reference'!$A$7:$D$906,2,0)))))</f>
        <v>Scapania undulata</v>
      </c>
      <c r="L47" s="219"/>
      <c r="M47" s="219"/>
      <c r="N47" s="219"/>
      <c r="O47" s="205"/>
      <c r="P47" s="206" t="n">
        <f aca="false">IF(ISTEXT(H47),"",(B47*$B$7/100)+(C47*$C$7/100))</f>
        <v>0.1475</v>
      </c>
      <c r="Q47" s="207" t="n">
        <f aca="false">IF(OR(ISTEXT(H47),P47=0),"",IF(P47&lt;0.1,1,IF(P47&lt;1,2,IF(P47&lt;10,3,IF(P47&lt;50,4,IF(P47&gt;=50,5,""))))))</f>
        <v>2</v>
      </c>
      <c r="R47" s="207" t="n">
        <f aca="false">IF(ISERROR(Q47*I47),0,Q47*I47)</f>
        <v>34</v>
      </c>
      <c r="S47" s="207" t="n">
        <f aca="false">IF(ISERROR(Q47*I47*J47),0,Q47*I47*J47)</f>
        <v>102</v>
      </c>
      <c r="T47" s="220" t="n">
        <f aca="false">IF(ISERROR(Q47*J47),0,Q47*J47)</f>
        <v>6</v>
      </c>
      <c r="U47" s="208" t="str">
        <f aca="false">IF(AND(A47="",F47=0),"",IF(F47=0,"Il manque le(s) % de rec. !",""))</f>
        <v/>
      </c>
      <c r="V47" s="209"/>
      <c r="X47" s="207" t="str">
        <f aca="false">IF(A47="new.cod","NEW.COD",IF(AND((Y47=""),ISTEXT(A47)),A47,IF(Y47="","",INDEX('[1]liste reference'!$A$7:$A$906,Y47))))</f>
        <v>SCA.UND</v>
      </c>
      <c r="Y47" s="8" t="n">
        <f aca="false">IF(ISERROR(MATCH(A47,'[1]liste reference'!$A$7:$A$906,0)),IF(ISERROR(MATCH(A47,'[1]liste reference'!$B$7:$B$906,0)),"",(MATCH(A47,'[1]liste reference'!$B$7:$B$906,0))),(MATCH(A47,'[1]liste reference'!$A$7:$A$906,0)))</f>
        <v>145</v>
      </c>
      <c r="Z47" s="211"/>
      <c r="AA47" s="212"/>
      <c r="BB47" s="8" t="n">
        <f aca="false">IF(A47="","",1)</f>
        <v>1</v>
      </c>
    </row>
    <row r="48" customFormat="false" ht="12.75" hidden="false" customHeight="false" outlineLevel="0" collapsed="false">
      <c r="A48" s="221" t="s">
        <v>94</v>
      </c>
      <c r="B48" s="222" t="n">
        <v>0.05</v>
      </c>
      <c r="C48" s="213"/>
      <c r="D48" s="214" t="str">
        <f aca="false">IF(ISERROR(VLOOKUP($A48,'[1]liste reference'!$A$7:$D$906,2,0)),IF(ISERROR(VLOOKUP($A48,'[1]liste reference'!$B$7:$D$906,1,0)),"",VLOOKUP($A48,'[1]liste reference'!$B$7:$D$906,1,0)),VLOOKUP($A48,'[1]liste reference'!$A$7:$D$906,2,0))</f>
        <v>Schistidium rivulare</v>
      </c>
      <c r="E48" s="214" t="e">
        <f aca="false">IF(D48="",0,VLOOKUP(D48,D$22:D47,1,0))</f>
        <v>#N/A</v>
      </c>
      <c r="F48" s="225" t="n">
        <f aca="false">($B48*$B$7+$C48*$C$7)/100</f>
        <v>0.0325</v>
      </c>
      <c r="G48" s="216" t="str">
        <f aca="false">IF(A48="","",IF(ISERROR(VLOOKUP($A48,'[1]liste reference'!$A$7:$P$906,13,0)),IF(ISERROR(VLOOKUP($A48,'[1]liste reference'!$B$7:$P$906,12,0)),"    -",VLOOKUP($A48,'[1]liste reference'!$B$7:$P$906,12,0)),VLOOKUP($A48,'[1]liste reference'!$A$7:$P$906,13,0)))</f>
        <v>BRm</v>
      </c>
      <c r="H48" s="200" t="n">
        <f aca="false">IF(A48="","x",IF(ISERROR(VLOOKUP($A48,'[1]liste reference'!$A$7:$P$906,14,0)),IF(ISERROR(VLOOKUP($A48,'[1]liste reference'!$B$7:$P$906,13,0)),"x",VLOOKUP($A48,'[1]liste reference'!$B$7:$P$906,13,0)),VLOOKUP($A48,'[1]liste reference'!$A$7:$P$906,14,0)))</f>
        <v>5</v>
      </c>
      <c r="I48" s="217" t="n">
        <f aca="false">IF(ISNUMBER(H48),IF(ISERROR(VLOOKUP($A48,'[1]liste reference'!$A$7:$P$906,3,0)),IF(ISERROR(VLOOKUP($A48,'[1]liste reference'!$B$7:$P$906,2,0)),"",VLOOKUP($A48,'[1]liste reference'!$B$7:$P$906,2,0)),VLOOKUP($A48,'[1]liste reference'!$A$7:$P$906,3,0)),"")</f>
        <v>15</v>
      </c>
      <c r="J48" s="202" t="n">
        <f aca="false">IF(ISNUMBER(H48),IF(ISERROR(VLOOKUP($A48,'[1]liste reference'!$A$7:$P$906,4,0)),IF(ISERROR(VLOOKUP($A48,'[1]liste reference'!$B$7:$P$906,3,0)),"",VLOOKUP($A48,'[1]liste reference'!$B$7:$P$906,3,0)),VLOOKUP($A48,'[1]liste reference'!$A$7:$P$906,4,0)),"")</f>
        <v>3</v>
      </c>
      <c r="K48" s="218" t="str">
        <f aca="false">IF(A48="NEW.COD",AA48,IF(ISTEXT($E48),"DEJA SAISI !",IF(A48="","",IF(ISERROR(VLOOKUP($A48,'[1]liste reference'!$A$7:$D$906,2,0)),IF(ISERROR(VLOOKUP($A48,'[1]liste reference'!$B$7:$D$906,1,0)),"code non répertorié ou synonyme",VLOOKUP($A48,'[1]liste reference'!$B$7:$D$906,1,0)),VLOOKUP(A48,'[1]liste reference'!$A$7:$D$906,2,0)))))</f>
        <v>Schistidium rivulare</v>
      </c>
      <c r="L48" s="219"/>
      <c r="M48" s="219"/>
      <c r="N48" s="219"/>
      <c r="O48" s="205"/>
      <c r="P48" s="206" t="n">
        <f aca="false">IF(ISTEXT(H48),"",(B48*$B$7/100)+(C48*$C$7/100))</f>
        <v>0.0325</v>
      </c>
      <c r="Q48" s="207" t="n">
        <f aca="false">IF(OR(ISTEXT(H48),P48=0),"",IF(P48&lt;0.1,1,IF(P48&lt;1,2,IF(P48&lt;10,3,IF(P48&lt;50,4,IF(P48&gt;=50,5,""))))))</f>
        <v>1</v>
      </c>
      <c r="R48" s="207" t="n">
        <f aca="false">IF(ISERROR(Q48*I48),0,Q48*I48)</f>
        <v>15</v>
      </c>
      <c r="S48" s="207" t="n">
        <f aca="false">IF(ISERROR(Q48*I48*J48),0,Q48*I48*J48)</f>
        <v>45</v>
      </c>
      <c r="T48" s="220" t="n">
        <f aca="false">IF(ISERROR(Q48*J48),0,Q48*J48)</f>
        <v>3</v>
      </c>
      <c r="U48" s="208" t="str">
        <f aca="false">IF(AND(A48="",F48=0),"",IF(F48=0,"Il manque le(s) % de rec. !",""))</f>
        <v/>
      </c>
      <c r="V48" s="209"/>
      <c r="X48" s="207" t="str">
        <f aca="false">IF(A48="new.cod","NEW.COD",IF(AND((Y48=""),ISTEXT(A48)),A48,IF(Y48="","",INDEX('[1]liste reference'!$A$7:$A$906,Y48))))</f>
        <v>SCS.RIV</v>
      </c>
      <c r="Y48" s="8" t="n">
        <f aca="false">IF(ISERROR(MATCH(A48,'[1]liste reference'!$A$7:$A$906,0)),IF(ISERROR(MATCH(A48,'[1]liste reference'!$B$7:$B$906,0)),"",(MATCH(A48,'[1]liste reference'!$B$7:$B$906,0))),(MATCH(A48,'[1]liste reference'!$A$7:$A$906,0)))</f>
        <v>256</v>
      </c>
      <c r="Z48" s="211"/>
      <c r="AA48" s="212"/>
      <c r="BB48" s="8" t="n">
        <f aca="false">IF(A48="","",1)</f>
        <v>1</v>
      </c>
    </row>
    <row r="49" customFormat="false" ht="12.75" hidden="false" customHeight="false" outlineLevel="0" collapsed="false">
      <c r="A49" s="221" t="s">
        <v>95</v>
      </c>
      <c r="B49" s="222" t="n">
        <v>0.2</v>
      </c>
      <c r="C49" s="213"/>
      <c r="D49" s="214" t="str">
        <f aca="false">IF(ISERROR(VLOOKUP($A49,'[1]liste reference'!$A$7:$D$906,2,0)),IF(ISERROR(VLOOKUP($A49,'[1]liste reference'!$B$7:$D$906,1,0)),"",VLOOKUP($A49,'[1]liste reference'!$B$7:$D$906,1,0)),VLOOKUP($A49,'[1]liste reference'!$A$7:$D$906,2,0))</f>
        <v>Hygrohypnum duriusculum (H. dilatatum)</v>
      </c>
      <c r="E49" s="214" t="e">
        <f aca="false">IF(D49="",0,VLOOKUP(D49,D$22:D48,1,0))</f>
        <v>#N/A</v>
      </c>
      <c r="F49" s="225" t="n">
        <f aca="false">($B49*$B$7+$C49*$C$7)/100</f>
        <v>0.13</v>
      </c>
      <c r="G49" s="216" t="str">
        <f aca="false">IF(A49="","",IF(ISERROR(VLOOKUP($A49,'[1]liste reference'!$A$7:$P$906,13,0)),IF(ISERROR(VLOOKUP($A49,'[1]liste reference'!$B$7:$P$906,12,0)),"    -",VLOOKUP($A49,'[1]liste reference'!$B$7:$P$906,12,0)),VLOOKUP($A49,'[1]liste reference'!$A$7:$P$906,13,0)))</f>
        <v>BRm</v>
      </c>
      <c r="H49" s="200" t="n">
        <f aca="false">IF(A49="","x",IF(ISERROR(VLOOKUP($A49,'[1]liste reference'!$A$7:$P$906,14,0)),IF(ISERROR(VLOOKUP($A49,'[1]liste reference'!$B$7:$P$906,13,0)),"x",VLOOKUP($A49,'[1]liste reference'!$B$7:$P$906,13,0)),VLOOKUP($A49,'[1]liste reference'!$A$7:$P$906,14,0)))</f>
        <v>5</v>
      </c>
      <c r="I49" s="217" t="n">
        <f aca="false">IF(ISNUMBER(H49),IF(ISERROR(VLOOKUP($A49,'[1]liste reference'!$A$7:$P$906,3,0)),IF(ISERROR(VLOOKUP($A49,'[1]liste reference'!$B$7:$P$906,2,0)),"",VLOOKUP($A49,'[1]liste reference'!$B$7:$P$906,2,0)),VLOOKUP($A49,'[1]liste reference'!$A$7:$P$906,3,0)),"")</f>
        <v>19</v>
      </c>
      <c r="J49" s="202" t="n">
        <f aca="false">IF(ISNUMBER(H49),IF(ISERROR(VLOOKUP($A49,'[1]liste reference'!$A$7:$P$906,4,0)),IF(ISERROR(VLOOKUP($A49,'[1]liste reference'!$B$7:$P$906,3,0)),"",VLOOKUP($A49,'[1]liste reference'!$B$7:$P$906,3,0)),VLOOKUP($A49,'[1]liste reference'!$A$7:$P$906,4,0)),"")</f>
        <v>3</v>
      </c>
      <c r="K49" s="218" t="str">
        <f aca="false">IF(A49="NEW.COD",AA49,IF(ISTEXT($E49),"DEJA SAISI !",IF(A49="","",IF(ISERROR(VLOOKUP($A49,'[1]liste reference'!$A$7:$D$906,2,0)),IF(ISERROR(VLOOKUP($A49,'[1]liste reference'!$B$7:$D$906,1,0)),"code non répertorié ou synonyme",VLOOKUP($A49,'[1]liste reference'!$B$7:$D$906,1,0)),VLOOKUP(A49,'[1]liste reference'!$A$7:$D$906,2,0)))))</f>
        <v>Hygrohypnum duriusculum (H. dilatatum)</v>
      </c>
      <c r="L49" s="219"/>
      <c r="M49" s="219"/>
      <c r="N49" s="219"/>
      <c r="O49" s="205"/>
      <c r="P49" s="206" t="n">
        <f aca="false">IF(ISTEXT(H49),"",(B49*$B$7/100)+(C49*$C$7/100))</f>
        <v>0.13</v>
      </c>
      <c r="Q49" s="207" t="n">
        <f aca="false">IF(OR(ISTEXT(H49),P49=0),"",IF(P49&lt;0.1,1,IF(P49&lt;1,2,IF(P49&lt;10,3,IF(P49&lt;50,4,IF(P49&gt;=50,5,""))))))</f>
        <v>2</v>
      </c>
      <c r="R49" s="207" t="n">
        <f aca="false">IF(ISERROR(Q49*I49),0,Q49*I49)</f>
        <v>38</v>
      </c>
      <c r="S49" s="207" t="n">
        <f aca="false">IF(ISERROR(Q49*I49*J49),0,Q49*I49*J49)</f>
        <v>114</v>
      </c>
      <c r="T49" s="220" t="n">
        <f aca="false">IF(ISERROR(Q49*J49),0,Q49*J49)</f>
        <v>6</v>
      </c>
      <c r="U49" s="208" t="str">
        <f aca="false">IF(AND(A49="",F49=0),"",IF(F49=0,"Il manque le(s) % de rec. !",""))</f>
        <v/>
      </c>
      <c r="V49" s="209"/>
      <c r="X49" s="207" t="str">
        <f aca="false">IF(A49="new.cod","NEW.COD",IF(AND((Y49=""),ISTEXT(A49)),A49,IF(Y49="","",INDEX('[1]liste reference'!$A$7:$A$906,Y49))))</f>
        <v>HYG.DUR</v>
      </c>
      <c r="Y49" s="8" t="n">
        <f aca="false">IF(ISERROR(MATCH(A49,'[1]liste reference'!$A$7:$A$906,0)),IF(ISERROR(MATCH(A49,'[1]liste reference'!$B$7:$B$906,0)),"",(MATCH(A49,'[1]liste reference'!$B$7:$B$906,0))),(MATCH(A49,'[1]liste reference'!$A$7:$A$906,0)))</f>
        <v>219</v>
      </c>
      <c r="Z49" s="211"/>
      <c r="AA49" s="212"/>
      <c r="BB49" s="8" t="n">
        <f aca="false">IF(A49="","",1)</f>
        <v>1</v>
      </c>
    </row>
    <row r="50" customFormat="false" ht="12.75" hidden="false" customHeight="false" outlineLevel="0" collapsed="false">
      <c r="A50" s="221" t="s">
        <v>96</v>
      </c>
      <c r="B50" s="222"/>
      <c r="C50" s="213" t="n">
        <v>0.01</v>
      </c>
      <c r="D50" s="214" t="str">
        <f aca="false">IF(ISERROR(VLOOKUP($A50,'[1]liste reference'!$A$7:$D$906,2,0)),IF(ISERROR(VLOOKUP($A50,'[1]liste reference'!$B$7:$D$906,1,0)),"",VLOOKUP($A50,'[1]liste reference'!$B$7:$D$906,1,0)),VLOOKUP($A50,'[1]liste reference'!$A$7:$D$906,2,0))</f>
        <v/>
      </c>
      <c r="E50" s="214" t="n">
        <f aca="false">IF(D50="",0,VLOOKUP(D50,D$22:D49,1,0))</f>
        <v>0</v>
      </c>
      <c r="F50" s="225" t="n">
        <f aca="false">($B50*$B$7+$C50*$C$7)/100</f>
        <v>0.0035</v>
      </c>
      <c r="G50" s="216" t="str">
        <f aca="false">IF(A50="","",IF(ISERROR(VLOOKUP($A50,'[1]liste reference'!$A$7:$P$906,13,0)),IF(ISERROR(VLOOKUP($A50,'[1]liste reference'!$B$7:$P$906,12,0)),"    -",VLOOKUP($A50,'[1]liste reference'!$B$7:$P$906,12,0)),VLOOKUP($A50,'[1]liste reference'!$A$7:$P$906,13,0)))</f>
        <v>-</v>
      </c>
      <c r="H50" s="200" t="str">
        <f aca="false">IF(A50="","x",IF(ISERROR(VLOOKUP($A50,'[1]liste reference'!$A$7:$P$906,14,0)),IF(ISERROR(VLOOKUP($A50,'[1]liste reference'!$B$7:$P$906,13,0)),"x",VLOOKUP($A50,'[1]liste reference'!$B$7:$P$906,13,0)),VLOOKUP($A50,'[1]liste reference'!$A$7:$P$906,14,0)))</f>
        <v>x</v>
      </c>
      <c r="I50" s="217"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8" t="str">
        <f aca="false">IF(A50="NEW.COD",AA50,IF(ISTEXT($E50),"DEJA SAISI !",IF(A50="","",IF(ISERROR(VLOOKUP($A50,'[1]liste reference'!$A$7:$D$906,2,0)),IF(ISERROR(VLOOKUP($A50,'[1]liste reference'!$B$7:$D$906,1,0)),"code non répertorié ou synonyme",VLOOKUP($A50,'[1]liste reference'!$B$7:$D$906,1,0)),VLOOKUP(A50,'[1]liste reference'!$A$7:$D$906,2,0)))))</f>
        <v>Carex flava</v>
      </c>
      <c r="L50" s="219"/>
      <c r="M50" s="219"/>
      <c r="N50" s="219"/>
      <c r="O50" s="205" t="s">
        <v>97</v>
      </c>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0" t="n">
        <f aca="false">IF(ISERROR(Q50*J50),0,Q50*J50)</f>
        <v>0</v>
      </c>
      <c r="U50" s="208" t="str">
        <f aca="false">IF(AND(A50="",F50=0),"",IF(F50=0,"Il manque le(s) % de rec. !",""))</f>
        <v/>
      </c>
      <c r="V50" s="209"/>
      <c r="X50" s="207" t="str">
        <f aca="false">IF(A50="new.cod","NEW.COD",IF(AND((Y50=""),ISTEXT(A50)),A50,IF(Y50="","",INDEX('[1]liste reference'!$A$7:$A$906,Y50))))</f>
        <v>NEW.COD</v>
      </c>
      <c r="Y50" s="8" t="str">
        <f aca="false">IF(ISERROR(MATCH(A50,'[1]liste reference'!$A$7:$A$906,0)),IF(ISERROR(MATCH(A50,'[1]liste reference'!$B$7:$B$906,0)),"",(MATCH(A50,'[1]liste reference'!$B$7:$B$906,0))),(MATCH(A50,'[1]liste reference'!$A$7:$A$906,0)))</f>
        <v/>
      </c>
      <c r="Z50" s="211" t="s">
        <v>97</v>
      </c>
      <c r="AA50" s="212" t="s">
        <v>98</v>
      </c>
      <c r="BB50" s="8" t="n">
        <f aca="false">IF(A50="","",1)</f>
        <v>1</v>
      </c>
    </row>
    <row r="51" customFormat="false" ht="12.75" hidden="false" customHeight="false" outlineLevel="0" collapsed="false">
      <c r="A51" s="221" t="s">
        <v>99</v>
      </c>
      <c r="B51" s="222"/>
      <c r="C51" s="213" t="n">
        <v>0.01</v>
      </c>
      <c r="D51" s="214" t="str">
        <f aca="false">IF(ISERROR(VLOOKUP($A51,'[1]liste reference'!$A$7:$D$906,2,0)),IF(ISERROR(VLOOKUP($A51,'[1]liste reference'!$B$7:$D$906,1,0)),"",VLOOKUP($A51,'[1]liste reference'!$B$7:$D$906,1,0)),VLOOKUP($A51,'[1]liste reference'!$A$7:$D$906,2,0))</f>
        <v>Equisetum arvense</v>
      </c>
      <c r="E51" s="214" t="e">
        <f aca="false">IF(D51="",0,VLOOKUP(D51,D$22:D50,1,0))</f>
        <v>#N/A</v>
      </c>
      <c r="F51" s="225" t="n">
        <f aca="false">($B51*$B$7+$C51*$C$7)/100</f>
        <v>0.0035</v>
      </c>
      <c r="G51" s="216" t="str">
        <f aca="false">IF(A51="","",IF(ISERROR(VLOOKUP($A51,'[1]liste reference'!$A$7:$P$906,13,0)),IF(ISERROR(VLOOKUP($A51,'[1]liste reference'!$B$7:$P$906,12,0)),"    -",VLOOKUP($A51,'[1]liste reference'!$B$7:$P$906,12,0)),VLOOKUP($A51,'[1]liste reference'!$A$7:$P$906,13,0)))</f>
        <v>PTE</v>
      </c>
      <c r="H51" s="200" t="n">
        <f aca="false">IF(A51="","x",IF(ISERROR(VLOOKUP($A51,'[1]liste reference'!$A$7:$P$906,14,0)),IF(ISERROR(VLOOKUP($A51,'[1]liste reference'!$B$7:$P$906,13,0)),"x",VLOOKUP($A51,'[1]liste reference'!$B$7:$P$906,13,0)),VLOOKUP($A51,'[1]liste reference'!$A$7:$P$906,14,0)))</f>
        <v>6</v>
      </c>
      <c r="I51" s="217"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8" t="str">
        <f aca="false">IF(A51="NEW.COD",AA51,IF(ISTEXT($E51),"DEJA SAISI !",IF(A51="","",IF(ISERROR(VLOOKUP($A51,'[1]liste reference'!$A$7:$D$906,2,0)),IF(ISERROR(VLOOKUP($A51,'[1]liste reference'!$B$7:$D$906,1,0)),"code non répertorié ou synonyme",VLOOKUP($A51,'[1]liste reference'!$B$7:$D$906,1,0)),VLOOKUP(A51,'[1]liste reference'!$A$7:$D$906,2,0)))))</f>
        <v>Equisetum arvense</v>
      </c>
      <c r="L51" s="219"/>
      <c r="M51" s="219"/>
      <c r="N51" s="219"/>
      <c r="O51" s="205"/>
      <c r="P51" s="206" t="n">
        <f aca="false">IF(ISTEXT(H51),"",(B51*$B$7/100)+(C51*$C$7/100))</f>
        <v>0.0035</v>
      </c>
      <c r="Q51" s="207" t="n">
        <f aca="false">IF(OR(ISTEXT(H51),P51=0),"",IF(P51&lt;0.1,1,IF(P51&lt;1,2,IF(P51&lt;10,3,IF(P51&lt;50,4,IF(P51&gt;=50,5,""))))))</f>
        <v>1</v>
      </c>
      <c r="R51" s="207" t="n">
        <f aca="false">IF(ISERROR(Q51*I51),0,Q51*I51)</f>
        <v>0</v>
      </c>
      <c r="S51" s="207" t="n">
        <f aca="false">IF(ISERROR(Q51*I51*J51),0,Q51*I51*J51)</f>
        <v>0</v>
      </c>
      <c r="T51" s="220" t="n">
        <f aca="false">IF(ISERROR(Q51*J51),0,Q51*J51)</f>
        <v>0</v>
      </c>
      <c r="U51" s="208" t="str">
        <f aca="false">IF(AND(A51="",F51=0),"",IF(F51=0,"Il manque le(s) % de rec. !",""))</f>
        <v/>
      </c>
      <c r="V51" s="209"/>
      <c r="X51" s="207" t="str">
        <f aca="false">IF(A51="new.cod","NEW.COD",IF(AND((Y51=""),ISTEXT(A51)),A51,IF(Y51="","",INDEX('[1]liste reference'!$A$7:$A$906,Y51))))</f>
        <v>EQU.ARV</v>
      </c>
      <c r="Y51" s="8" t="n">
        <f aca="false">IF(ISERROR(MATCH(A51,'[1]liste reference'!$A$7:$A$906,0)),IF(ISERROR(MATCH(A51,'[1]liste reference'!$B$7:$B$906,0)),"",(MATCH(A51,'[1]liste reference'!$B$7:$B$906,0))),(MATCH(A51,'[1]liste reference'!$A$7:$A$906,0)))</f>
        <v>279</v>
      </c>
      <c r="Z51" s="211"/>
      <c r="AA51" s="212"/>
      <c r="BB51" s="8" t="n">
        <f aca="false">IF(A51="","",1)</f>
        <v>1</v>
      </c>
    </row>
    <row r="52" customFormat="false" ht="12.75" hidden="false" customHeight="false" outlineLevel="0" collapsed="false">
      <c r="A52" s="221" t="s">
        <v>100</v>
      </c>
      <c r="B52" s="222"/>
      <c r="C52" s="213" t="n">
        <v>0.03</v>
      </c>
      <c r="D52" s="214" t="str">
        <f aca="false">IF(ISERROR(VLOOKUP($A52,'[1]liste reference'!$A$7:$D$906,2,0)),IF(ISERROR(VLOOKUP($A52,'[1]liste reference'!$B$7:$D$906,1,0)),"",VLOOKUP($A52,'[1]liste reference'!$B$7:$D$906,1,0)),VLOOKUP($A52,'[1]liste reference'!$A$7:$D$906,2,0))</f>
        <v>Glyceria fluitans</v>
      </c>
      <c r="E52" s="214" t="e">
        <f aca="false">IF(D52="",0,VLOOKUP(D52,D$22:D51,1,0))</f>
        <v>#N/A</v>
      </c>
      <c r="F52" s="225" t="n">
        <f aca="false">($B52*$B$7+$C52*$C$7)/100</f>
        <v>0.0105</v>
      </c>
      <c r="G52" s="216" t="str">
        <f aca="false">IF(A52="","",IF(ISERROR(VLOOKUP($A52,'[1]liste reference'!$A$7:$P$906,13,0)),IF(ISERROR(VLOOKUP($A52,'[1]liste reference'!$B$7:$P$906,12,0)),"    -",VLOOKUP($A52,'[1]liste reference'!$B$7:$P$906,12,0)),VLOOKUP($A52,'[1]liste reference'!$A$7:$P$906,13,0)))</f>
        <v>PHe</v>
      </c>
      <c r="H52" s="200" t="n">
        <f aca="false">IF(A52="","x",IF(ISERROR(VLOOKUP($A52,'[1]liste reference'!$A$7:$P$906,14,0)),IF(ISERROR(VLOOKUP($A52,'[1]liste reference'!$B$7:$P$906,13,0)),"x",VLOOKUP($A52,'[1]liste reference'!$B$7:$P$906,13,0)),VLOOKUP($A52,'[1]liste reference'!$A$7:$P$906,14,0)))</f>
        <v>8</v>
      </c>
      <c r="I52" s="217" t="n">
        <f aca="false">IF(ISNUMBER(H52),IF(ISERROR(VLOOKUP($A52,'[1]liste reference'!$A$7:$P$906,3,0)),IF(ISERROR(VLOOKUP($A52,'[1]liste reference'!$B$7:$P$906,2,0)),"",VLOOKUP($A52,'[1]liste reference'!$B$7:$P$906,2,0)),VLOOKUP($A52,'[1]liste reference'!$A$7:$P$906,3,0)),"")</f>
        <v>14</v>
      </c>
      <c r="J52" s="202" t="n">
        <f aca="false">IF(ISNUMBER(H52),IF(ISERROR(VLOOKUP($A52,'[1]liste reference'!$A$7:$P$906,4,0)),IF(ISERROR(VLOOKUP($A52,'[1]liste reference'!$B$7:$P$906,3,0)),"",VLOOKUP($A52,'[1]liste reference'!$B$7:$P$906,3,0)),VLOOKUP($A52,'[1]liste reference'!$A$7:$P$906,4,0)),"")</f>
        <v>2</v>
      </c>
      <c r="K52" s="218" t="str">
        <f aca="false">IF(A52="NEW.COD",AA52,IF(ISTEXT($E52),"DEJA SAISI !",IF(A52="","",IF(ISERROR(VLOOKUP($A52,'[1]liste reference'!$A$7:$D$906,2,0)),IF(ISERROR(VLOOKUP($A52,'[1]liste reference'!$B$7:$D$906,1,0)),"code non répertorié ou synonyme",VLOOKUP($A52,'[1]liste reference'!$B$7:$D$906,1,0)),VLOOKUP(A52,'[1]liste reference'!$A$7:$D$906,2,0)))))</f>
        <v>Glyceria fluitans</v>
      </c>
      <c r="L52" s="219"/>
      <c r="M52" s="219"/>
      <c r="N52" s="219"/>
      <c r="O52" s="205"/>
      <c r="P52" s="206" t="n">
        <f aca="false">IF(ISTEXT(H52),"",(B52*$B$7/100)+(C52*$C$7/100))</f>
        <v>0.0105</v>
      </c>
      <c r="Q52" s="207" t="n">
        <f aca="false">IF(OR(ISTEXT(H52),P52=0),"",IF(P52&lt;0.1,1,IF(P52&lt;1,2,IF(P52&lt;10,3,IF(P52&lt;50,4,IF(P52&gt;=50,5,""))))))</f>
        <v>1</v>
      </c>
      <c r="R52" s="207" t="n">
        <f aca="false">IF(ISERROR(Q52*I52),0,Q52*I52)</f>
        <v>14</v>
      </c>
      <c r="S52" s="207" t="n">
        <f aca="false">IF(ISERROR(Q52*I52*J52),0,Q52*I52*J52)</f>
        <v>28</v>
      </c>
      <c r="T52" s="220" t="n">
        <f aca="false">IF(ISERROR(Q52*J52),0,Q52*J52)</f>
        <v>2</v>
      </c>
      <c r="U52" s="208" t="str">
        <f aca="false">IF(AND(A52="",F52=0),"",IF(F52=0,"Il manque le(s) % de rec. !",""))</f>
        <v/>
      </c>
      <c r="V52" s="209"/>
      <c r="X52" s="207" t="str">
        <f aca="false">IF(A52="new.cod","NEW.COD",IF(AND((Y52=""),ISTEXT(A52)),A52,IF(Y52="","",INDEX('[1]liste reference'!$A$7:$A$906,Y52))))</f>
        <v>GLY.FLU</v>
      </c>
      <c r="Y52" s="8" t="n">
        <f aca="false">IF(ISERROR(MATCH(A52,'[1]liste reference'!$A$7:$A$906,0)),IF(ISERROR(MATCH(A52,'[1]liste reference'!$B$7:$B$906,0)),"",(MATCH(A52,'[1]liste reference'!$B$7:$B$906,0))),(MATCH(A52,'[1]liste reference'!$A$7:$A$906,0)))</f>
        <v>580</v>
      </c>
      <c r="Z52" s="211"/>
      <c r="AA52" s="212"/>
      <c r="BB52" s="8" t="n">
        <f aca="false">IF(A52="","",1)</f>
        <v>1</v>
      </c>
    </row>
    <row r="53" customFormat="false" ht="12.75" hidden="false" customHeight="false" outlineLevel="0" collapsed="false">
      <c r="A53" s="221" t="s">
        <v>101</v>
      </c>
      <c r="B53" s="222"/>
      <c r="C53" s="213" t="n">
        <v>0.02</v>
      </c>
      <c r="D53" s="214" t="str">
        <f aca="false">IF(ISERROR(VLOOKUP($A53,'[1]liste reference'!$A$7:$D$906,2,0)),IF(ISERROR(VLOOKUP($A53,'[1]liste reference'!$B$7:$D$906,1,0)),"",VLOOKUP($A53,'[1]liste reference'!$B$7:$D$906,1,0)),VLOOKUP($A53,'[1]liste reference'!$A$7:$D$906,2,0))</f>
        <v>Juncus acutiflorus</v>
      </c>
      <c r="E53" s="214" t="e">
        <f aca="false">IF(D53="",0,VLOOKUP(D53,D$22:D52,1,0))</f>
        <v>#N/A</v>
      </c>
      <c r="F53" s="225" t="n">
        <f aca="false">($B53*$B$7+$C53*$C$7)/100</f>
        <v>0.007</v>
      </c>
      <c r="G53" s="216" t="str">
        <f aca="false">IF(A53="","",IF(ISERROR(VLOOKUP($A53,'[1]liste reference'!$A$7:$P$906,13,0)),IF(ISERROR(VLOOKUP($A53,'[1]liste reference'!$B$7:$P$906,12,0)),"    -",VLOOKUP($A53,'[1]liste reference'!$B$7:$P$906,12,0)),VLOOKUP($A53,'[1]liste reference'!$A$7:$P$906,13,0)))</f>
        <v>PHg</v>
      </c>
      <c r="H53" s="200" t="n">
        <f aca="false">IF(A53="","x",IF(ISERROR(VLOOKUP($A53,'[1]liste reference'!$A$7:$P$906,14,0)),IF(ISERROR(VLOOKUP($A53,'[1]liste reference'!$B$7:$P$906,13,0)),"x",VLOOKUP($A53,'[1]liste reference'!$B$7:$P$906,13,0)),VLOOKUP($A53,'[1]liste reference'!$A$7:$P$906,14,0)))</f>
        <v>9</v>
      </c>
      <c r="I53" s="217"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8" t="str">
        <f aca="false">IF(A53="NEW.COD",AA53,IF(ISTEXT($E53),"DEJA SAISI !",IF(A53="","",IF(ISERROR(VLOOKUP($A53,'[1]liste reference'!$A$7:$D$906,2,0)),IF(ISERROR(VLOOKUP($A53,'[1]liste reference'!$B$7:$D$906,1,0)),"code non répertorié ou synonyme",VLOOKUP($A53,'[1]liste reference'!$B$7:$D$906,1,0)),VLOOKUP(A53,'[1]liste reference'!$A$7:$D$906,2,0)))))</f>
        <v>Juncus acutiflorus</v>
      </c>
      <c r="L53" s="219"/>
      <c r="M53" s="219"/>
      <c r="N53" s="219"/>
      <c r="O53" s="205"/>
      <c r="P53" s="206" t="n">
        <f aca="false">IF(ISTEXT(H53),"",(B53*$B$7/100)+(C53*$C$7/100))</f>
        <v>0.007</v>
      </c>
      <c r="Q53" s="207" t="n">
        <f aca="false">IF(OR(ISTEXT(H53),P53=0),"",IF(P53&lt;0.1,1,IF(P53&lt;1,2,IF(P53&lt;10,3,IF(P53&lt;50,4,IF(P53&gt;=50,5,""))))))</f>
        <v>1</v>
      </c>
      <c r="R53" s="207" t="n">
        <f aca="false">IF(ISERROR(Q53*I53),0,Q53*I53)</f>
        <v>0</v>
      </c>
      <c r="S53" s="207" t="n">
        <f aca="false">IF(ISERROR(Q53*I53*J53),0,Q53*I53*J53)</f>
        <v>0</v>
      </c>
      <c r="T53" s="220" t="n">
        <f aca="false">IF(ISERROR(Q53*J53),0,Q53*J53)</f>
        <v>0</v>
      </c>
      <c r="U53" s="208" t="str">
        <f aca="false">IF(AND(A53="",F53=0),"",IF(F53=0,"Il manque le(s) % de rec. !",""))</f>
        <v/>
      </c>
      <c r="V53" s="209"/>
      <c r="X53" s="207" t="str">
        <f aca="false">IF(A53="new.cod","NEW.COD",IF(AND((Y53=""),ISTEXT(A53)),A53,IF(Y53="","",INDEX('[1]liste reference'!$A$7:$A$906,Y53))))</f>
        <v>JUN.ACU</v>
      </c>
      <c r="Y53" s="8" t="n">
        <f aca="false">IF(ISERROR(MATCH(A53,'[1]liste reference'!$A$7:$A$906,0)),IF(ISERROR(MATCH(A53,'[1]liste reference'!$B$7:$B$906,0)),"",(MATCH(A53,'[1]liste reference'!$B$7:$B$906,0))),(MATCH(A53,'[1]liste reference'!$A$7:$A$906,0)))</f>
        <v>772</v>
      </c>
      <c r="Z53" s="211"/>
      <c r="AA53" s="212"/>
      <c r="BB53" s="8" t="n">
        <f aca="false">IF(A53="","",1)</f>
        <v>1</v>
      </c>
    </row>
    <row r="54" customFormat="false" ht="12.75" hidden="false" customHeight="false" outlineLevel="0" collapsed="false">
      <c r="A54" s="221" t="s">
        <v>102</v>
      </c>
      <c r="B54" s="222"/>
      <c r="C54" s="213" t="n">
        <v>0.01</v>
      </c>
      <c r="D54" s="214" t="str">
        <f aca="false">IF(ISERROR(VLOOKUP($A54,'[1]liste reference'!$A$7:$D$906,2,0)),IF(ISERROR(VLOOKUP($A54,'[1]liste reference'!$B$7:$D$906,1,0)),"",VLOOKUP($A54,'[1]liste reference'!$B$7:$D$906,1,0)),VLOOKUP($A54,'[1]liste reference'!$A$7:$D$906,2,0))</f>
        <v>Juncus effusus</v>
      </c>
      <c r="E54" s="214" t="e">
        <f aca="false">IF(D54="",0,VLOOKUP(D54,D$22:D53,1,0))</f>
        <v>#N/A</v>
      </c>
      <c r="F54" s="225" t="n">
        <f aca="false">($B54*$B$7+$C54*$C$7)/100</f>
        <v>0.0035</v>
      </c>
      <c r="G54" s="216" t="str">
        <f aca="false">IF(A54="","",IF(ISERROR(VLOOKUP($A54,'[1]liste reference'!$A$7:$P$906,13,0)),IF(ISERROR(VLOOKUP($A54,'[1]liste reference'!$B$7:$P$906,12,0)),"    -",VLOOKUP($A54,'[1]liste reference'!$B$7:$P$906,12,0)),VLOOKUP($A54,'[1]liste reference'!$A$7:$P$906,13,0)))</f>
        <v>PHe</v>
      </c>
      <c r="H54" s="200" t="n">
        <f aca="false">IF(A54="","x",IF(ISERROR(VLOOKUP($A54,'[1]liste reference'!$A$7:$P$906,14,0)),IF(ISERROR(VLOOKUP($A54,'[1]liste reference'!$B$7:$P$906,13,0)),"x",VLOOKUP($A54,'[1]liste reference'!$B$7:$P$906,13,0)),VLOOKUP($A54,'[1]liste reference'!$A$7:$P$906,14,0)))</f>
        <v>8</v>
      </c>
      <c r="I54" s="217"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8" t="str">
        <f aca="false">IF(A54="NEW.COD",AA54,IF(ISTEXT($E54),"DEJA SAISI !",IF(A54="","",IF(ISERROR(VLOOKUP($A54,'[1]liste reference'!$A$7:$D$906,2,0)),IF(ISERROR(VLOOKUP($A54,'[1]liste reference'!$B$7:$D$906,1,0)),"code non répertorié ou synonyme",VLOOKUP($A54,'[1]liste reference'!$B$7:$D$906,1,0)),VLOOKUP(A54,'[1]liste reference'!$A$7:$D$906,2,0)))))</f>
        <v>Juncus effusus</v>
      </c>
      <c r="L54" s="219"/>
      <c r="M54" s="219"/>
      <c r="N54" s="219"/>
      <c r="O54" s="205"/>
      <c r="P54" s="206" t="n">
        <f aca="false">IF(ISTEXT(H54),"",(B54*$B$7/100)+(C54*$C$7/100))</f>
        <v>0.0035</v>
      </c>
      <c r="Q54" s="207" t="n">
        <f aca="false">IF(OR(ISTEXT(H54),P54=0),"",IF(P54&lt;0.1,1,IF(P54&lt;1,2,IF(P54&lt;10,3,IF(P54&lt;50,4,IF(P54&gt;=50,5,""))))))</f>
        <v>1</v>
      </c>
      <c r="R54" s="207" t="n">
        <f aca="false">IF(ISERROR(Q54*I54),0,Q54*I54)</f>
        <v>0</v>
      </c>
      <c r="S54" s="207" t="n">
        <f aca="false">IF(ISERROR(Q54*I54*J54),0,Q54*I54*J54)</f>
        <v>0</v>
      </c>
      <c r="T54" s="220" t="n">
        <f aca="false">IF(ISERROR(Q54*J54),0,Q54*J54)</f>
        <v>0</v>
      </c>
      <c r="U54" s="208" t="str">
        <f aca="false">IF(AND(A54="",F54=0),"",IF(F54=0,"Il manque le(s) % de rec. !",""))</f>
        <v/>
      </c>
      <c r="V54" s="209"/>
      <c r="X54" s="207" t="str">
        <f aca="false">IF(A54="new.cod","NEW.COD",IF(AND((Y54=""),ISTEXT(A54)),A54,IF(Y54="","",INDEX('[1]liste reference'!$A$7:$A$906,Y54))))</f>
        <v>JUN.EFF</v>
      </c>
      <c r="Y54" s="8" t="n">
        <f aca="false">IF(ISERROR(MATCH(A54,'[1]liste reference'!$A$7:$A$906,0)),IF(ISERROR(MATCH(A54,'[1]liste reference'!$B$7:$B$906,0)),"",(MATCH(A54,'[1]liste reference'!$B$7:$B$906,0))),(MATCH(A54,'[1]liste reference'!$A$7:$A$906,0)))</f>
        <v>592</v>
      </c>
      <c r="Z54" s="211"/>
      <c r="AA54" s="212"/>
      <c r="BB54" s="8" t="n">
        <f aca="false">IF(A54="","",1)</f>
        <v>1</v>
      </c>
    </row>
    <row r="55" customFormat="false" ht="12.75" hidden="false" customHeight="false" outlineLevel="0" collapsed="false">
      <c r="A55" s="221" t="s">
        <v>103</v>
      </c>
      <c r="B55" s="222"/>
      <c r="C55" s="213" t="n">
        <v>0.01</v>
      </c>
      <c r="D55" s="214" t="str">
        <f aca="false">IF(ISERROR(VLOOKUP($A55,'[1]liste reference'!$A$7:$D$906,2,0)),IF(ISERROR(VLOOKUP($A55,'[1]liste reference'!$B$7:$D$906,1,0)),"",VLOOKUP($A55,'[1]liste reference'!$B$7:$D$906,1,0)),VLOOKUP($A55,'[1]liste reference'!$A$7:$D$906,2,0))</f>
        <v>Lotus pedunculatus (Lotus uliginosus)</v>
      </c>
      <c r="E55" s="214" t="e">
        <f aca="false">IF(D55="",0,VLOOKUP(D55,D$22:D54,1,0))</f>
        <v>#N/A</v>
      </c>
      <c r="F55" s="225" t="n">
        <f aca="false">($B55*$B$7+$C55*$C$7)/100</f>
        <v>0.0035</v>
      </c>
      <c r="G55" s="216" t="str">
        <f aca="false">IF(A55="","",IF(ISERROR(VLOOKUP($A55,'[1]liste reference'!$A$7:$P$906,13,0)),IF(ISERROR(VLOOKUP($A55,'[1]liste reference'!$B$7:$P$906,12,0)),"    -",VLOOKUP($A55,'[1]liste reference'!$B$7:$P$906,12,0)),VLOOKUP($A55,'[1]liste reference'!$A$7:$P$906,13,0)))</f>
        <v>PHg</v>
      </c>
      <c r="H55" s="200" t="n">
        <f aca="false">IF(A55="","x",IF(ISERROR(VLOOKUP($A55,'[1]liste reference'!$A$7:$P$906,14,0)),IF(ISERROR(VLOOKUP($A55,'[1]liste reference'!$B$7:$P$906,13,0)),"x",VLOOKUP($A55,'[1]liste reference'!$B$7:$P$906,13,0)),VLOOKUP($A55,'[1]liste reference'!$A$7:$P$906,14,0)))</f>
        <v>9</v>
      </c>
      <c r="I55" s="217"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8" t="str">
        <f aca="false">IF(A55="NEW.COD",AA55,IF(ISTEXT($E55),"DEJA SAISI !",IF(A55="","",IF(ISERROR(VLOOKUP($A55,'[1]liste reference'!$A$7:$D$906,2,0)),IF(ISERROR(VLOOKUP($A55,'[1]liste reference'!$B$7:$D$906,1,0)),"code non répertorié ou synonyme",VLOOKUP($A55,'[1]liste reference'!$B$7:$D$906,1,0)),VLOOKUP(A55,'[1]liste reference'!$A$7:$D$906,2,0)))))</f>
        <v>Lotus pedunculatus (Lotus uliginosus)</v>
      </c>
      <c r="L55" s="219"/>
      <c r="M55" s="219"/>
      <c r="N55" s="219"/>
      <c r="O55" s="205"/>
      <c r="P55" s="206" t="n">
        <f aca="false">IF(ISTEXT(H55),"",(B55*$B$7/100)+(C55*$C$7/100))</f>
        <v>0.0035</v>
      </c>
      <c r="Q55" s="207" t="n">
        <f aca="false">IF(OR(ISTEXT(H55),P55=0),"",IF(P55&lt;0.1,1,IF(P55&lt;1,2,IF(P55&lt;10,3,IF(P55&lt;50,4,IF(P55&gt;=50,5,""))))))</f>
        <v>1</v>
      </c>
      <c r="R55" s="207" t="n">
        <f aca="false">IF(ISERROR(Q55*I55),0,Q55*I55)</f>
        <v>0</v>
      </c>
      <c r="S55" s="207" t="n">
        <f aca="false">IF(ISERROR(Q55*I55*J55),0,Q55*I55*J55)</f>
        <v>0</v>
      </c>
      <c r="T55" s="220" t="n">
        <f aca="false">IF(ISERROR(Q55*J55),0,Q55*J55)</f>
        <v>0</v>
      </c>
      <c r="U55" s="208" t="str">
        <f aca="false">IF(AND(A55="",F55=0),"",IF(F55=0,"Il manque le(s) % de rec. !",""))</f>
        <v/>
      </c>
      <c r="V55" s="209"/>
      <c r="X55" s="207" t="str">
        <f aca="false">IF(A55="new.cod","NEW.COD",IF(AND((Y55=""),ISTEXT(A55)),A55,IF(Y55="","",INDEX('[1]liste reference'!$A$7:$A$906,Y55))))</f>
        <v>LOT.PED</v>
      </c>
      <c r="Y55" s="8" t="n">
        <f aca="false">IF(ISERROR(MATCH(A55,'[1]liste reference'!$A$7:$A$906,0)),IF(ISERROR(MATCH(A55,'[1]liste reference'!$B$7:$B$906,0)),"",(MATCH(A55,'[1]liste reference'!$B$7:$B$906,0))),(MATCH(A55,'[1]liste reference'!$A$7:$A$906,0)))</f>
        <v>785</v>
      </c>
      <c r="Z55" s="211"/>
      <c r="AA55" s="212"/>
      <c r="BB55" s="8" t="n">
        <f aca="false">IF(A55="","",1)</f>
        <v>1</v>
      </c>
    </row>
    <row r="56" customFormat="false" ht="12.75" hidden="false" customHeight="false" outlineLevel="0" collapsed="false">
      <c r="A56" s="221" t="s">
        <v>104</v>
      </c>
      <c r="B56" s="222" t="n">
        <v>0.05</v>
      </c>
      <c r="C56" s="213"/>
      <c r="D56" s="214" t="str">
        <f aca="false">IF(ISERROR(VLOOKUP($A56,'[1]liste reference'!$A$7:$D$906,2,0)),IF(ISERROR(VLOOKUP($A56,'[1]liste reference'!$B$7:$D$906,1,0)),"",VLOOKUP($A56,'[1]liste reference'!$B$7:$D$906,1,0)),VLOOKUP($A56,'[1]liste reference'!$A$7:$D$906,2,0))</f>
        <v>Mentha aquatica</v>
      </c>
      <c r="E56" s="214" t="e">
        <f aca="false">IF(D56="",0,VLOOKUP(D56,D$22:D55,1,0))</f>
        <v>#N/A</v>
      </c>
      <c r="F56" s="225" t="n">
        <f aca="false">($B56*$B$7+$C56*$C$7)/100</f>
        <v>0.0325</v>
      </c>
      <c r="G56" s="216" t="str">
        <f aca="false">IF(A56="","",IF(ISERROR(VLOOKUP($A56,'[1]liste reference'!$A$7:$P$906,13,0)),IF(ISERROR(VLOOKUP($A56,'[1]liste reference'!$B$7:$P$906,12,0)),"    -",VLOOKUP($A56,'[1]liste reference'!$B$7:$P$906,12,0)),VLOOKUP($A56,'[1]liste reference'!$A$7:$P$906,13,0)))</f>
        <v>PHe</v>
      </c>
      <c r="H56" s="200" t="n">
        <f aca="false">IF(A56="","x",IF(ISERROR(VLOOKUP($A56,'[1]liste reference'!$A$7:$P$906,14,0)),IF(ISERROR(VLOOKUP($A56,'[1]liste reference'!$B$7:$P$906,13,0)),"x",VLOOKUP($A56,'[1]liste reference'!$B$7:$P$906,13,0)),VLOOKUP($A56,'[1]liste reference'!$A$7:$P$906,14,0)))</f>
        <v>8</v>
      </c>
      <c r="I56" s="217" t="n">
        <f aca="false">IF(ISNUMBER(H56),IF(ISERROR(VLOOKUP($A56,'[1]liste reference'!$A$7:$P$906,3,0)),IF(ISERROR(VLOOKUP($A56,'[1]liste reference'!$B$7:$P$906,2,0)),"",VLOOKUP($A56,'[1]liste reference'!$B$7:$P$906,2,0)),VLOOKUP($A56,'[1]liste reference'!$A$7:$P$906,3,0)),"")</f>
        <v>12</v>
      </c>
      <c r="J56" s="202" t="n">
        <f aca="false">IF(ISNUMBER(H56),IF(ISERROR(VLOOKUP($A56,'[1]liste reference'!$A$7:$P$906,4,0)),IF(ISERROR(VLOOKUP($A56,'[1]liste reference'!$B$7:$P$906,3,0)),"",VLOOKUP($A56,'[1]liste reference'!$B$7:$P$906,3,0)),VLOOKUP($A56,'[1]liste reference'!$A$7:$P$906,4,0)),"")</f>
        <v>1</v>
      </c>
      <c r="K56" s="218" t="str">
        <f aca="false">IF(A56="NEW.COD",AA56,IF(ISTEXT($E56),"DEJA SAISI !",IF(A56="","",IF(ISERROR(VLOOKUP($A56,'[1]liste reference'!$A$7:$D$906,2,0)),IF(ISERROR(VLOOKUP($A56,'[1]liste reference'!$B$7:$D$906,1,0)),"code non répertorié ou synonyme",VLOOKUP($A56,'[1]liste reference'!$B$7:$D$906,1,0)),VLOOKUP(A56,'[1]liste reference'!$A$7:$D$906,2,0)))))</f>
        <v>Mentha aquatica</v>
      </c>
      <c r="L56" s="219"/>
      <c r="M56" s="219"/>
      <c r="N56" s="219"/>
      <c r="O56" s="205"/>
      <c r="P56" s="206" t="n">
        <f aca="false">IF(ISTEXT(H56),"",(B56*$B$7/100)+(C56*$C$7/100))</f>
        <v>0.0325</v>
      </c>
      <c r="Q56" s="207" t="n">
        <f aca="false">IF(OR(ISTEXT(H56),P56=0),"",IF(P56&lt;0.1,1,IF(P56&lt;1,2,IF(P56&lt;10,3,IF(P56&lt;50,4,IF(P56&gt;=50,5,""))))))</f>
        <v>1</v>
      </c>
      <c r="R56" s="207" t="n">
        <f aca="false">IF(ISERROR(Q56*I56),0,Q56*I56)</f>
        <v>12</v>
      </c>
      <c r="S56" s="207" t="n">
        <f aca="false">IF(ISERROR(Q56*I56*J56),0,Q56*I56*J56)</f>
        <v>12</v>
      </c>
      <c r="T56" s="220" t="n">
        <f aca="false">IF(ISERROR(Q56*J56),0,Q56*J56)</f>
        <v>1</v>
      </c>
      <c r="U56" s="208" t="str">
        <f aca="false">IF(AND(A56="",F56=0),"",IF(F56=0,"Il manque le(s) % de rec. !",""))</f>
        <v/>
      </c>
      <c r="V56" s="209"/>
      <c r="X56" s="207" t="str">
        <f aca="false">IF(A56="new.cod","NEW.COD",IF(AND((Y56=""),ISTEXT(A56)),A56,IF(Y56="","",INDEX('[1]liste reference'!$A$7:$A$906,Y56))))</f>
        <v>MEN.AQU</v>
      </c>
      <c r="Y56" s="8" t="n">
        <f aca="false">IF(ISERROR(MATCH(A56,'[1]liste reference'!$A$7:$A$906,0)),IF(ISERROR(MATCH(A56,'[1]liste reference'!$B$7:$B$906,0)),"",(MATCH(A56,'[1]liste reference'!$B$7:$B$906,0))),(MATCH(A56,'[1]liste reference'!$A$7:$A$906,0)))</f>
        <v>613</v>
      </c>
      <c r="Z56" s="211"/>
      <c r="AA56" s="212"/>
      <c r="BB56" s="8" t="n">
        <f aca="false">IF(A56="","",1)</f>
        <v>1</v>
      </c>
    </row>
    <row r="57" customFormat="false" ht="12.75" hidden="false" customHeight="false" outlineLevel="0" collapsed="false">
      <c r="A57" s="221" t="s">
        <v>105</v>
      </c>
      <c r="B57" s="222" t="n">
        <v>0.05</v>
      </c>
      <c r="C57" s="213"/>
      <c r="D57" s="214" t="str">
        <f aca="false">IF(ISERROR(VLOOKUP($A57,'[1]liste reference'!$A$7:$D$906,2,0)),IF(ISERROR(VLOOKUP($A57,'[1]liste reference'!$B$7:$D$906,1,0)),"",VLOOKUP($A57,'[1]liste reference'!$B$7:$D$906,1,0)),VLOOKUP($A57,'[1]liste reference'!$A$7:$D$906,2,0))</f>
        <v>Mentha longifolia</v>
      </c>
      <c r="E57" s="214" t="e">
        <f aca="false">IF(D57="",0,VLOOKUP(D57,D$22:D56,1,0))</f>
        <v>#N/A</v>
      </c>
      <c r="F57" s="225" t="n">
        <f aca="false">($B57*$B$7+$C57*$C$7)/100</f>
        <v>0.0325</v>
      </c>
      <c r="G57" s="216" t="str">
        <f aca="false">IF(A57="","",IF(ISERROR(VLOOKUP($A57,'[1]liste reference'!$A$7:$P$906,13,0)),IF(ISERROR(VLOOKUP($A57,'[1]liste reference'!$B$7:$P$906,12,0)),"    -",VLOOKUP($A57,'[1]liste reference'!$B$7:$P$906,12,0)),VLOOKUP($A57,'[1]liste reference'!$A$7:$P$906,13,0)))</f>
        <v>PHe</v>
      </c>
      <c r="H57" s="200" t="n">
        <f aca="false">IF(A57="","x",IF(ISERROR(VLOOKUP($A57,'[1]liste reference'!$A$7:$P$906,14,0)),IF(ISERROR(VLOOKUP($A57,'[1]liste reference'!$B$7:$P$906,13,0)),"x",VLOOKUP($A57,'[1]liste reference'!$B$7:$P$906,13,0)),VLOOKUP($A57,'[1]liste reference'!$A$7:$P$906,14,0)))</f>
        <v>8</v>
      </c>
      <c r="I57" s="217"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8" t="str">
        <f aca="false">IF(A57="NEW.COD",AA57,IF(ISTEXT($E57),"DEJA SAISI !",IF(A57="","",IF(ISERROR(VLOOKUP($A57,'[1]liste reference'!$A$7:$D$906,2,0)),IF(ISERROR(VLOOKUP($A57,'[1]liste reference'!$B$7:$D$906,1,0)),"code non répertorié ou synonyme",VLOOKUP($A57,'[1]liste reference'!$B$7:$D$906,1,0)),VLOOKUP(A57,'[1]liste reference'!$A$7:$D$906,2,0)))))</f>
        <v>Mentha longifolia</v>
      </c>
      <c r="L57" s="219"/>
      <c r="M57" s="219"/>
      <c r="N57" s="219"/>
      <c r="O57" s="205"/>
      <c r="P57" s="206" t="n">
        <f aca="false">IF(ISTEXT(H57),"",(B57*$B$7/100)+(C57*$C$7/100))</f>
        <v>0.0325</v>
      </c>
      <c r="Q57" s="207" t="n">
        <f aca="false">IF(OR(ISTEXT(H57),P57=0),"",IF(P57&lt;0.1,1,IF(P57&lt;1,2,IF(P57&lt;10,3,IF(P57&lt;50,4,IF(P57&gt;=50,5,""))))))</f>
        <v>1</v>
      </c>
      <c r="R57" s="207" t="n">
        <f aca="false">IF(ISERROR(Q57*I57),0,Q57*I57)</f>
        <v>0</v>
      </c>
      <c r="S57" s="207" t="n">
        <f aca="false">IF(ISERROR(Q57*I57*J57),0,Q57*I57*J57)</f>
        <v>0</v>
      </c>
      <c r="T57" s="220" t="n">
        <f aca="false">IF(ISERROR(Q57*J57),0,Q57*J57)</f>
        <v>0</v>
      </c>
      <c r="U57" s="208" t="str">
        <f aca="false">IF(AND(A57="",F57=0),"",IF(F57=0,"Il manque le(s) % de rec. !",""))</f>
        <v/>
      </c>
      <c r="V57" s="209"/>
      <c r="X57" s="207" t="str">
        <f aca="false">IF(A57="new.cod","NEW.COD",IF(AND((Y57=""),ISTEXT(A57)),A57,IF(Y57="","",INDEX('[1]liste reference'!$A$7:$A$906,Y57))))</f>
        <v>MEN.LON</v>
      </c>
      <c r="Y57" s="8" t="n">
        <f aca="false">IF(ISERROR(MATCH(A57,'[1]liste reference'!$A$7:$A$906,0)),IF(ISERROR(MATCH(A57,'[1]liste reference'!$B$7:$B$906,0)),"",(MATCH(A57,'[1]liste reference'!$B$7:$B$906,0))),(MATCH(A57,'[1]liste reference'!$A$7:$A$906,0)))</f>
        <v>615</v>
      </c>
      <c r="Z57" s="211"/>
      <c r="AA57" s="212"/>
      <c r="BB57" s="8" t="n">
        <f aca="false">IF(A57="","",1)</f>
        <v>1</v>
      </c>
    </row>
    <row r="58" customFormat="false" ht="12.75" hidden="false" customHeight="false" outlineLevel="0" collapsed="false">
      <c r="A58" s="221" t="s">
        <v>96</v>
      </c>
      <c r="B58" s="222"/>
      <c r="C58" s="213" t="n">
        <v>0.01</v>
      </c>
      <c r="D58" s="214" t="str">
        <f aca="false">IF(ISERROR(VLOOKUP($A58,'[1]liste reference'!$A$7:$D$906,2,0)),IF(ISERROR(VLOOKUP($A58,'[1]liste reference'!$B$7:$D$906,1,0)),"",VLOOKUP($A58,'[1]liste reference'!$B$7:$D$906,1,0)),VLOOKUP($A58,'[1]liste reference'!$A$7:$D$906,2,0))</f>
        <v/>
      </c>
      <c r="E58" s="214" t="n">
        <f aca="false">IF(D58="",0,VLOOKUP(D58,D$22:D57,1,0))</f>
        <v>0</v>
      </c>
      <c r="F58" s="225" t="n">
        <f aca="false">($B58*$B$7+$C58*$C$7)/100</f>
        <v>0.0035</v>
      </c>
      <c r="G58" s="216" t="str">
        <f aca="false">IF(A58="","",IF(ISERROR(VLOOKUP($A58,'[1]liste reference'!$A$7:$P$906,13,0)),IF(ISERROR(VLOOKUP($A58,'[1]liste reference'!$B$7:$P$906,12,0)),"    -",VLOOKUP($A58,'[1]liste reference'!$B$7:$P$906,12,0)),VLOOKUP($A58,'[1]liste reference'!$A$7:$P$906,13,0)))</f>
        <v>-</v>
      </c>
      <c r="H58" s="200" t="str">
        <f aca="false">IF(A58="","x",IF(ISERROR(VLOOKUP($A58,'[1]liste reference'!$A$7:$P$906,14,0)),IF(ISERROR(VLOOKUP($A58,'[1]liste reference'!$B$7:$P$906,13,0)),"x",VLOOKUP($A58,'[1]liste reference'!$B$7:$P$906,13,0)),VLOOKUP($A58,'[1]liste reference'!$A$7:$P$906,14,0)))</f>
        <v>x</v>
      </c>
      <c r="I58" s="217"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8" t="str">
        <f aca="false">IF(A58="NEW.COD",AA58,IF(ISTEXT($E58),"DEJA SAISI !",IF(A58="","",IF(ISERROR(VLOOKUP($A58,'[1]liste reference'!$A$7:$D$906,2,0)),IF(ISERROR(VLOOKUP($A58,'[1]liste reference'!$B$7:$D$906,1,0)),"code non répertorié ou synonyme",VLOOKUP($A58,'[1]liste reference'!$B$7:$D$906,1,0)),VLOOKUP(A58,'[1]liste reference'!$A$7:$D$906,2,0)))))</f>
        <v>Myosotis sylvatica</v>
      </c>
      <c r="L58" s="219"/>
      <c r="M58" s="219"/>
      <c r="N58" s="219"/>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0" t="n">
        <f aca="false">IF(ISERROR(Q58*J58),0,Q58*J58)</f>
        <v>0</v>
      </c>
      <c r="U58" s="208" t="str">
        <f aca="false">IF(AND(A58="",F58=0),"",IF(F58=0,"Il manque le(s) % de rec. !",""))</f>
        <v/>
      </c>
      <c r="V58" s="209"/>
      <c r="X58" s="207" t="str">
        <f aca="false">IF(A58="new.cod","NEW.COD",IF(AND((Y58=""),ISTEXT(A58)),A58,IF(Y58="","",INDEX('[1]liste reference'!$A$7:$A$906,Y58))))</f>
        <v>NEW.COD</v>
      </c>
      <c r="Y58" s="8" t="str">
        <f aca="false">IF(ISERROR(MATCH(A58,'[1]liste reference'!$A$7:$A$906,0)),IF(ISERROR(MATCH(A58,'[1]liste reference'!$B$7:$B$906,0)),"",(MATCH(A58,'[1]liste reference'!$B$7:$B$906,0))),(MATCH(A58,'[1]liste reference'!$A$7:$A$906,0)))</f>
        <v/>
      </c>
      <c r="Z58" s="211"/>
      <c r="AA58" s="212" t="s">
        <v>106</v>
      </c>
      <c r="BB58" s="8" t="n">
        <f aca="false">IF(A58="","",1)</f>
        <v>1</v>
      </c>
    </row>
    <row r="59" customFormat="false" ht="12.75" hidden="false" customHeight="false" outlineLevel="0" collapsed="false">
      <c r="A59" s="221" t="s">
        <v>107</v>
      </c>
      <c r="B59" s="222"/>
      <c r="C59" s="213" t="n">
        <v>0.02</v>
      </c>
      <c r="D59" s="214" t="str">
        <f aca="false">IF(ISERROR(VLOOKUP($A59,'[1]liste reference'!$A$7:$D$906,2,0)),IF(ISERROR(VLOOKUP($A59,'[1]liste reference'!$B$7:$D$906,1,0)),"",VLOOKUP($A59,'[1]liste reference'!$B$7:$D$906,1,0)),VLOOKUP($A59,'[1]liste reference'!$A$7:$D$906,2,0))</f>
        <v>Phalaris arundinacea</v>
      </c>
      <c r="E59" s="214" t="e">
        <f aca="false">IF(D59="",0,VLOOKUP(D59,D$22:D58,1,0))</f>
        <v>#N/A</v>
      </c>
      <c r="F59" s="225" t="n">
        <f aca="false">($B59*$B$7+$C59*$C$7)/100</f>
        <v>0.007</v>
      </c>
      <c r="G59" s="216" t="str">
        <f aca="false">IF(A59="","",IF(ISERROR(VLOOKUP($A59,'[1]liste reference'!$A$7:$P$906,13,0)),IF(ISERROR(VLOOKUP($A59,'[1]liste reference'!$B$7:$P$906,12,0)),"    -",VLOOKUP($A59,'[1]liste reference'!$B$7:$P$906,12,0)),VLOOKUP($A59,'[1]liste reference'!$A$7:$P$906,13,0)))</f>
        <v>PHe</v>
      </c>
      <c r="H59" s="200" t="n">
        <f aca="false">IF(A59="","x",IF(ISERROR(VLOOKUP($A59,'[1]liste reference'!$A$7:$P$906,14,0)),IF(ISERROR(VLOOKUP($A59,'[1]liste reference'!$B$7:$P$906,13,0)),"x",VLOOKUP($A59,'[1]liste reference'!$B$7:$P$906,13,0)),VLOOKUP($A59,'[1]liste reference'!$A$7:$P$906,14,0)))</f>
        <v>8</v>
      </c>
      <c r="I59" s="217" t="n">
        <f aca="false">IF(ISNUMBER(H59),IF(ISERROR(VLOOKUP($A59,'[1]liste reference'!$A$7:$P$906,3,0)),IF(ISERROR(VLOOKUP($A59,'[1]liste reference'!$B$7:$P$906,2,0)),"",VLOOKUP($A59,'[1]liste reference'!$B$7:$P$906,2,0)),VLOOKUP($A59,'[1]liste reference'!$A$7:$P$906,3,0)),"")</f>
        <v>10</v>
      </c>
      <c r="J59" s="202" t="n">
        <f aca="false">IF(ISNUMBER(H59),IF(ISERROR(VLOOKUP($A59,'[1]liste reference'!$A$7:$P$906,4,0)),IF(ISERROR(VLOOKUP($A59,'[1]liste reference'!$B$7:$P$906,3,0)),"",VLOOKUP($A59,'[1]liste reference'!$B$7:$P$906,3,0)),VLOOKUP($A59,'[1]liste reference'!$A$7:$P$906,4,0)),"")</f>
        <v>1</v>
      </c>
      <c r="K59" s="218" t="str">
        <f aca="false">IF(A59="NEW.COD",AA59,IF(ISTEXT($E59),"DEJA SAISI !",IF(A59="","",IF(ISERROR(VLOOKUP($A59,'[1]liste reference'!$A$7:$D$906,2,0)),IF(ISERROR(VLOOKUP($A59,'[1]liste reference'!$B$7:$D$906,1,0)),"code non répertorié ou synonyme",VLOOKUP($A59,'[1]liste reference'!$B$7:$D$906,1,0)),VLOOKUP(A59,'[1]liste reference'!$A$7:$D$906,2,0)))))</f>
        <v>Phalaris arundinacea</v>
      </c>
      <c r="L59" s="219"/>
      <c r="M59" s="219"/>
      <c r="N59" s="219"/>
      <c r="O59" s="205"/>
      <c r="P59" s="206" t="n">
        <f aca="false">IF(ISTEXT(H59),"",(B59*$B$7/100)+(C59*$C$7/100))</f>
        <v>0.007</v>
      </c>
      <c r="Q59" s="207" t="n">
        <f aca="false">IF(OR(ISTEXT(H59),P59=0),"",IF(P59&lt;0.1,1,IF(P59&lt;1,2,IF(P59&lt;10,3,IF(P59&lt;50,4,IF(P59&gt;=50,5,""))))))</f>
        <v>1</v>
      </c>
      <c r="R59" s="207" t="n">
        <f aca="false">IF(ISERROR(Q59*I59),0,Q59*I59)</f>
        <v>10</v>
      </c>
      <c r="S59" s="207" t="n">
        <f aca="false">IF(ISERROR(Q59*I59*J59),0,Q59*I59*J59)</f>
        <v>10</v>
      </c>
      <c r="T59" s="220" t="n">
        <f aca="false">IF(ISERROR(Q59*J59),0,Q59*J59)</f>
        <v>1</v>
      </c>
      <c r="U59" s="208" t="str">
        <f aca="false">IF(AND(A59="",F59=0),"",IF(F59=0,"Il manque le(s) % de rec. !",""))</f>
        <v/>
      </c>
      <c r="V59" s="209"/>
      <c r="X59" s="207" t="str">
        <f aca="false">IF(A59="new.cod","NEW.COD",IF(AND((Y59=""),ISTEXT(A59)),A59,IF(Y59="","",INDEX('[1]liste reference'!$A$7:$A$906,Y59))))</f>
        <v>PHA.ARU</v>
      </c>
      <c r="Y59" s="8" t="n">
        <f aca="false">IF(ISERROR(MATCH(A59,'[1]liste reference'!$A$7:$A$906,0)),IF(ISERROR(MATCH(A59,'[1]liste reference'!$B$7:$B$906,0)),"",(MATCH(A59,'[1]liste reference'!$B$7:$B$906,0))),(MATCH(A59,'[1]liste reference'!$A$7:$A$906,0)))</f>
        <v>640</v>
      </c>
      <c r="Z59" s="211"/>
      <c r="AA59" s="212"/>
      <c r="BB59" s="8" t="n">
        <f aca="false">IF(A59="","",1)</f>
        <v>1</v>
      </c>
    </row>
    <row r="60" customFormat="false" ht="12.75" hidden="false" customHeight="false" outlineLevel="0" collapsed="false">
      <c r="A60" s="221"/>
      <c r="B60" s="222"/>
      <c r="C60" s="213"/>
      <c r="D60" s="214" t="str">
        <f aca="false">IF(ISERROR(VLOOKUP($A60,'[1]liste reference'!$A$7:$D$906,2,0)),IF(ISERROR(VLOOKUP($A60,'[1]liste reference'!$B$7:$D$906,1,0)),"",VLOOKUP($A60,'[1]liste reference'!$B$7:$D$906,1,0)),VLOOKUP($A60,'[1]liste reference'!$A$7:$D$906,2,0))</f>
        <v/>
      </c>
      <c r="E60" s="214" t="n">
        <f aca="false">IF(D60="",0,VLOOKUP(D60,D$22:D59,1,0))</f>
        <v>0</v>
      </c>
      <c r="F60" s="225" t="n">
        <f aca="false">($B60*$B$7+$C60*$C$7)/100</f>
        <v>0</v>
      </c>
      <c r="G60" s="216"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7"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8" t="str">
        <f aca="false">IF(A60="NEW.COD",AA60,IF(ISTEXT($E60),"DEJA SAISI !",IF(A60="","",IF(ISERROR(VLOOKUP($A60,'[1]liste reference'!$A$7:$D$906,2,0)),IF(ISERROR(VLOOKUP($A60,'[1]liste reference'!$B$7:$D$906,1,0)),"code non répertorié ou synonyme",VLOOKUP($A60,'[1]liste reference'!$B$7:$D$906,1,0)),VLOOKUP(A60,'[1]liste reference'!$A$7:$D$906,2,0)))))</f>
        <v/>
      </c>
      <c r="L60" s="219"/>
      <c r="M60" s="219"/>
      <c r="N60" s="219"/>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0"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1"/>
      <c r="AA60" s="212"/>
      <c r="BB60" s="8" t="str">
        <f aca="false">IF(A60="","",1)</f>
        <v/>
      </c>
    </row>
    <row r="61" customFormat="false" ht="12.75" hidden="false" customHeight="false" outlineLevel="0" collapsed="false">
      <c r="A61" s="221"/>
      <c r="B61" s="222"/>
      <c r="C61" s="213"/>
      <c r="D61" s="214" t="str">
        <f aca="false">IF(ISERROR(VLOOKUP($A61,'[1]liste reference'!$A$7:$D$906,2,0)),IF(ISERROR(VLOOKUP($A61,'[1]liste reference'!$B$7:$D$906,1,0)),"",VLOOKUP($A61,'[1]liste reference'!$B$7:$D$906,1,0)),VLOOKUP($A61,'[1]liste reference'!$A$7:$D$906,2,0))</f>
        <v/>
      </c>
      <c r="E61" s="214" t="n">
        <f aca="false">IF(D61="",0,VLOOKUP(D61,D$22:D54,1,0))</f>
        <v>0</v>
      </c>
      <c r="F61" s="225" t="n">
        <f aca="false">($B61*$B$7+$C61*$C$7)/100</f>
        <v>0</v>
      </c>
      <c r="G61" s="216"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7"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8" t="str">
        <f aca="false">IF(A61="NEW.COD",AA61,IF(ISTEXT($E61),"DEJA SAISI !",IF(A61="","",IF(ISERROR(VLOOKUP($A61,'[1]liste reference'!$A$7:$D$906,2,0)),IF(ISERROR(VLOOKUP($A61,'[1]liste reference'!$B$7:$D$906,1,0)),"code non répertorié ou synonyme",VLOOKUP($A61,'[1]liste reference'!$B$7:$D$906,1,0)),VLOOKUP(A61,'[1]liste reference'!$A$7:$D$906,2,0)))))</f>
        <v/>
      </c>
      <c r="L61" s="219"/>
      <c r="M61" s="219"/>
      <c r="N61" s="219"/>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0"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1"/>
      <c r="AA61" s="212"/>
      <c r="BB61" s="8" t="str">
        <f aca="false">IF(A61="","",1)</f>
        <v/>
      </c>
    </row>
    <row r="62" customFormat="false" ht="12.75" hidden="false" customHeight="false" outlineLevel="0" collapsed="false">
      <c r="A62" s="221"/>
      <c r="B62" s="222"/>
      <c r="C62" s="213"/>
      <c r="D62" s="214" t="str">
        <f aca="false">IF(ISERROR(VLOOKUP($A62,'[1]liste reference'!$A$7:$D$906,2,0)),IF(ISERROR(VLOOKUP($A62,'[1]liste reference'!$B$7:$D$906,1,0)),"",VLOOKUP($A62,'[1]liste reference'!$B$7:$D$906,1,0)),VLOOKUP($A62,'[1]liste reference'!$A$7:$D$906,2,0))</f>
        <v/>
      </c>
      <c r="E62" s="214" t="n">
        <f aca="false">IF(D62="",0,VLOOKUP(D62,D$22:D54,1,0))</f>
        <v>0</v>
      </c>
      <c r="F62" s="225" t="n">
        <f aca="false">($B62*$B$7+$C62*$C$7)/100</f>
        <v>0</v>
      </c>
      <c r="G62" s="216"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7"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8" t="str">
        <f aca="false">IF(A62="NEW.COD",AA62,IF(ISTEXT($E62),"DEJA SAISI !",IF(A62="","",IF(ISERROR(VLOOKUP($A62,'[1]liste reference'!$A$7:$D$906,2,0)),IF(ISERROR(VLOOKUP($A62,'[1]liste reference'!$B$7:$D$906,1,0)),"code non répertorié ou synonyme",VLOOKUP($A62,'[1]liste reference'!$B$7:$D$906,1,0)),VLOOKUP(A62,'[1]liste reference'!$A$7:$D$906,2,0)))))</f>
        <v/>
      </c>
      <c r="L62" s="219"/>
      <c r="M62" s="219"/>
      <c r="N62" s="219"/>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0"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1"/>
      <c r="AA62" s="212"/>
      <c r="BB62" s="8" t="str">
        <f aca="false">IF(A62="","",1)</f>
        <v/>
      </c>
    </row>
    <row r="63" customFormat="false" ht="12.75" hidden="false" customHeight="false" outlineLevel="0" collapsed="false">
      <c r="A63" s="221"/>
      <c r="B63" s="222"/>
      <c r="C63" s="213"/>
      <c r="D63" s="214" t="str">
        <f aca="false">IF(ISERROR(VLOOKUP($A63,'[1]liste reference'!$A$7:$D$906,2,0)),IF(ISERROR(VLOOKUP($A63,'[1]liste reference'!$B$7:$D$906,1,0)),"",VLOOKUP($A63,'[1]liste reference'!$B$7:$D$906,1,0)),VLOOKUP($A63,'[1]liste reference'!$A$7:$D$906,2,0))</f>
        <v/>
      </c>
      <c r="E63" s="214" t="n">
        <f aca="false">IF(D63="",0,VLOOKUP(D63,D$22:D55,1,0))</f>
        <v>0</v>
      </c>
      <c r="F63" s="225" t="n">
        <f aca="false">($B63*$B$7+$C63*$C$7)/100</f>
        <v>0</v>
      </c>
      <c r="G63" s="216"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7"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8" t="str">
        <f aca="false">IF(A63="NEW.COD",AA63,IF(ISTEXT($E63),"DEJA SAISI !",IF(A63="","",IF(ISERROR(VLOOKUP($A63,'[1]liste reference'!$A$7:$D$906,2,0)),IF(ISERROR(VLOOKUP($A63,'[1]liste reference'!$B$7:$D$906,1,0)),"code non répertorié ou synonyme",VLOOKUP($A63,'[1]liste reference'!$B$7:$D$906,1,0)),VLOOKUP(A63,'[1]liste reference'!$A$7:$D$906,2,0)))))</f>
        <v/>
      </c>
      <c r="L63" s="219"/>
      <c r="M63" s="219"/>
      <c r="N63" s="219"/>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0"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1"/>
      <c r="AA63" s="212"/>
      <c r="BB63" s="8" t="str">
        <f aca="false">IF(A63="","",1)</f>
        <v/>
      </c>
    </row>
    <row r="64" customFormat="false" ht="12.75" hidden="false" customHeight="true" outlineLevel="0" collapsed="false">
      <c r="A64" s="221"/>
      <c r="B64" s="222"/>
      <c r="C64" s="213"/>
      <c r="D64" s="214" t="str">
        <f aca="false">IF(ISERROR(VLOOKUP($A64,'[1]liste reference'!$A$7:$D$906,2,0)),IF(ISERROR(VLOOKUP($A64,'[1]liste reference'!$B$7:$D$906,1,0)),"",VLOOKUP($A64,'[1]liste reference'!$B$7:$D$906,1,0)),VLOOKUP($A64,'[1]liste reference'!$A$7:$D$906,2,0))</f>
        <v/>
      </c>
      <c r="E64" s="214" t="n">
        <f aca="false">IF(D64="",0,VLOOKUP(D64,D$22:D52,1,0))</f>
        <v>0</v>
      </c>
      <c r="F64" s="225" t="n">
        <f aca="false">($B64*$B$7+$C64*$C$7)/100</f>
        <v>0</v>
      </c>
      <c r="G64" s="216"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7"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8" t="str">
        <f aca="false">IF(A64="NEW.COD",AA64,IF(ISTEXT($E64),"DEJA SAISI !",IF(A64="","",IF(ISERROR(VLOOKUP($A64,'[1]liste reference'!$A$7:$D$906,2,0)),IF(ISERROR(VLOOKUP($A64,'[1]liste reference'!$B$7:$D$906,1,0)),"code non répertorié ou synonyme",VLOOKUP($A64,'[1]liste reference'!$B$7:$D$906,1,0)),VLOOKUP(A64,'[1]liste reference'!$A$7:$D$906,2,0)))))</f>
        <v/>
      </c>
      <c r="L64" s="219"/>
      <c r="M64" s="219"/>
      <c r="N64" s="219"/>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0"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1"/>
      <c r="AA64" s="212"/>
      <c r="BB64" s="8" t="str">
        <f aca="false">IF(A64="","",1)</f>
        <v/>
      </c>
    </row>
    <row r="65" customFormat="false" ht="12.75" hidden="false" customHeight="false" outlineLevel="0" collapsed="false">
      <c r="A65" s="221"/>
      <c r="B65" s="222"/>
      <c r="C65" s="213"/>
      <c r="D65" s="214" t="str">
        <f aca="false">IF(ISERROR(VLOOKUP($A65,'[1]liste reference'!$A$7:$D$906,2,0)),IF(ISERROR(VLOOKUP($A65,'[1]liste reference'!$B$7:$D$906,1,0)),"",VLOOKUP($A65,'[1]liste reference'!$B$7:$D$906,1,0)),VLOOKUP($A65,'[1]liste reference'!$A$7:$D$906,2,0))</f>
        <v/>
      </c>
      <c r="E65" s="214" t="n">
        <f aca="false">IF(D65="",0,VLOOKUP(D65,D$22:D53,1,0))</f>
        <v>0</v>
      </c>
      <c r="F65" s="225" t="n">
        <f aca="false">($B65*$B$7+$C65*$C$7)/100</f>
        <v>0</v>
      </c>
      <c r="G65" s="216"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7"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8" t="str">
        <f aca="false">IF(A65="NEW.COD",AA65,IF(ISTEXT($E65),"DEJA SAISI !",IF(A65="","",IF(ISERROR(VLOOKUP($A65,'[1]liste reference'!$A$7:$D$906,2,0)),IF(ISERROR(VLOOKUP($A65,'[1]liste reference'!$B$7:$D$906,1,0)),"code non répertorié ou synonyme",VLOOKUP($A65,'[1]liste reference'!$B$7:$D$906,1,0)),VLOOKUP(A65,'[1]liste reference'!$A$7:$D$906,2,0)))))</f>
        <v/>
      </c>
      <c r="L65" s="219"/>
      <c r="M65" s="219"/>
      <c r="N65" s="219"/>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0"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1"/>
      <c r="AA65" s="212"/>
      <c r="BB65" s="8" t="str">
        <f aca="false">IF(A65="","",1)</f>
        <v/>
      </c>
    </row>
    <row r="66" customFormat="false" ht="12.75" hidden="false" customHeight="false" outlineLevel="0" collapsed="false">
      <c r="A66" s="221"/>
      <c r="B66" s="222"/>
      <c r="C66" s="213"/>
      <c r="D66" s="214" t="str">
        <f aca="false">IF(ISERROR(VLOOKUP($A66,'[1]liste reference'!$A$7:$D$906,2,0)),IF(ISERROR(VLOOKUP($A66,'[1]liste reference'!$B$7:$D$906,1,0)),"",VLOOKUP($A66,'[1]liste reference'!$B$7:$D$906,1,0)),VLOOKUP($A66,'[1]liste reference'!$A$7:$D$906,2,0))</f>
        <v/>
      </c>
      <c r="E66" s="214" t="n">
        <f aca="false">IF(D66="",0,VLOOKUP(D66,D$22:D51,1,0))</f>
        <v>0</v>
      </c>
      <c r="F66" s="225" t="n">
        <f aca="false">($B66*$B$7+$C66*$C$7)/100</f>
        <v>0</v>
      </c>
      <c r="G66" s="216"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7"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8" t="str">
        <f aca="false">IF(A66="NEW.COD",AA66,IF(ISTEXT($E66),"DEJA SAISI !",IF(A66="","",IF(ISERROR(VLOOKUP($A66,'[1]liste reference'!$A$7:$D$906,2,0)),IF(ISERROR(VLOOKUP($A66,'[1]liste reference'!$B$7:$D$906,1,0)),"code non répertorié ou synonyme",VLOOKUP($A66,'[1]liste reference'!$B$7:$D$906,1,0)),VLOOKUP(A66,'[1]liste reference'!$A$7:$D$906,2,0)))))</f>
        <v/>
      </c>
      <c r="L66" s="219"/>
      <c r="M66" s="219"/>
      <c r="N66" s="219"/>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0"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1"/>
      <c r="AA66" s="212"/>
      <c r="BB66" s="8" t="str">
        <f aca="false">IF(A66="","",1)</f>
        <v/>
      </c>
    </row>
    <row r="67" customFormat="false" ht="12.75" hidden="false" customHeight="false" outlineLevel="0" collapsed="false">
      <c r="A67" s="221"/>
      <c r="B67" s="222"/>
      <c r="C67" s="213"/>
      <c r="D67" s="214" t="str">
        <f aca="false">IF(ISERROR(VLOOKUP($A67,'[1]liste reference'!$A$7:$D$906,2,0)),IF(ISERROR(VLOOKUP($A67,'[1]liste reference'!$B$7:$D$906,1,0)),"",VLOOKUP($A67,'[1]liste reference'!$B$7:$D$906,1,0)),VLOOKUP($A67,'[1]liste reference'!$A$7:$D$906,2,0))</f>
        <v/>
      </c>
      <c r="E67" s="214" t="n">
        <f aca="false">IF(D67="",0,VLOOKUP(D67,D$22:D52,1,0))</f>
        <v>0</v>
      </c>
      <c r="F67" s="225" t="n">
        <f aca="false">($B67*$B$7+$C67*$C$7)/100</f>
        <v>0</v>
      </c>
      <c r="G67" s="216"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7"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8" t="str">
        <f aca="false">IF(A67="NEW.COD",AA67,IF(ISTEXT($E67),"DEJA SAISI !",IF(A67="","",IF(ISERROR(VLOOKUP($A67,'[1]liste reference'!$A$7:$D$906,2,0)),IF(ISERROR(VLOOKUP($A67,'[1]liste reference'!$B$7:$D$906,1,0)),"code non répertorié ou synonyme",VLOOKUP($A67,'[1]liste reference'!$B$7:$D$906,1,0)),VLOOKUP(A67,'[1]liste reference'!$A$7:$D$906,2,0)))))</f>
        <v/>
      </c>
      <c r="L67" s="219"/>
      <c r="M67" s="219"/>
      <c r="N67" s="219"/>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0"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1"/>
      <c r="AA67" s="212"/>
      <c r="BB67" s="8" t="str">
        <f aca="false">IF(A67="","",1)</f>
        <v/>
      </c>
    </row>
    <row r="68" customFormat="false" ht="12.75" hidden="false" customHeight="false" outlineLevel="0" collapsed="false">
      <c r="A68" s="221"/>
      <c r="B68" s="222"/>
      <c r="C68" s="213"/>
      <c r="D68" s="214" t="str">
        <f aca="false">IF(ISERROR(VLOOKUP($A68,'[1]liste reference'!$A$7:$D$906,2,0)),IF(ISERROR(VLOOKUP($A68,'[1]liste reference'!$B$7:$D$906,1,0)),"",VLOOKUP($A68,'[1]liste reference'!$B$7:$D$906,1,0)),VLOOKUP($A68,'[1]liste reference'!$A$7:$D$906,2,0))</f>
        <v/>
      </c>
      <c r="E68" s="214" t="n">
        <f aca="false">IF(D68="",0,VLOOKUP(D68,D$22:D53,1,0))</f>
        <v>0</v>
      </c>
      <c r="F68" s="225" t="n">
        <f aca="false">($B68*$B$7+$C68*$C$7)/100</f>
        <v>0</v>
      </c>
      <c r="G68" s="216"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7"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8" t="str">
        <f aca="false">IF(A68="NEW.COD",AA68,IF(ISTEXT($E68),"DEJA SAISI !",IF(A68="","",IF(ISERROR(VLOOKUP($A68,'[1]liste reference'!$A$7:$D$906,2,0)),IF(ISERROR(VLOOKUP($A68,'[1]liste reference'!$B$7:$D$906,1,0)),"code non répertorié ou synonyme",VLOOKUP($A68,'[1]liste reference'!$B$7:$D$906,1,0)),VLOOKUP(A68,'[1]liste reference'!$A$7:$D$906,2,0)))))</f>
        <v/>
      </c>
      <c r="L68" s="219"/>
      <c r="M68" s="219"/>
      <c r="N68" s="219"/>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0"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1"/>
      <c r="AA68" s="212"/>
      <c r="BB68" s="8" t="str">
        <f aca="false">IF(A68="","",1)</f>
        <v/>
      </c>
    </row>
    <row r="69" customFormat="false" ht="12.75" hidden="false" customHeight="false" outlineLevel="0" collapsed="false">
      <c r="A69" s="221"/>
      <c r="B69" s="222"/>
      <c r="C69" s="213"/>
      <c r="D69" s="214" t="str">
        <f aca="false">IF(ISERROR(VLOOKUP($A69,'[1]liste reference'!$A$7:$D$906,2,0)),IF(ISERROR(VLOOKUP($A69,'[1]liste reference'!$B$7:$D$906,1,0)),"",VLOOKUP($A69,'[1]liste reference'!$B$7:$D$906,1,0)),VLOOKUP($A69,'[1]liste reference'!$A$7:$D$906,2,0))</f>
        <v/>
      </c>
      <c r="E69" s="214" t="n">
        <f aca="false">IF(D69="",0,VLOOKUP(D69,D$22:D54,1,0))</f>
        <v>0</v>
      </c>
      <c r="F69" s="225" t="n">
        <f aca="false">($B69*$B$7+$C69*$C$7)/100</f>
        <v>0</v>
      </c>
      <c r="G69" s="216"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7"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8" t="str">
        <f aca="false">IF(A69="NEW.COD",AA69,IF(ISTEXT($E69),"DEJA SAISI !",IF(A69="","",IF(ISERROR(VLOOKUP($A69,'[1]liste reference'!$A$7:$D$906,2,0)),IF(ISERROR(VLOOKUP($A69,'[1]liste reference'!$B$7:$D$906,1,0)),"code non répertorié ou synonyme",VLOOKUP($A69,'[1]liste reference'!$B$7:$D$906,1,0)),VLOOKUP(A69,'[1]liste reference'!$A$7:$D$906,2,0)))))</f>
        <v/>
      </c>
      <c r="L69" s="219"/>
      <c r="M69" s="219"/>
      <c r="N69" s="219"/>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0"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1"/>
      <c r="AA69" s="212"/>
      <c r="BB69" s="8" t="str">
        <f aca="false">IF(A69="","",1)</f>
        <v/>
      </c>
    </row>
    <row r="70" customFormat="false" ht="12.75" hidden="false" customHeight="false" outlineLevel="0" collapsed="false">
      <c r="A70" s="221"/>
      <c r="B70" s="222"/>
      <c r="C70" s="213"/>
      <c r="D70" s="214" t="str">
        <f aca="false">IF(ISERROR(VLOOKUP($A70,'[1]liste reference'!$A$7:$D$906,2,0)),IF(ISERROR(VLOOKUP($A70,'[1]liste reference'!$B$7:$D$906,1,0)),"",VLOOKUP($A70,'[1]liste reference'!$B$7:$D$906,1,0)),VLOOKUP($A70,'[1]liste reference'!$A$7:$D$906,2,0))</f>
        <v/>
      </c>
      <c r="E70" s="214" t="n">
        <f aca="false">IF(D70="",0,VLOOKUP(D70,D$22:D55,1,0))</f>
        <v>0</v>
      </c>
      <c r="F70" s="225" t="n">
        <f aca="false">($B70*$B$7+$C70*$C$7)/100</f>
        <v>0</v>
      </c>
      <c r="G70" s="216"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7"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8" t="str">
        <f aca="false">IF(A70="NEW.COD",AA70,IF(ISTEXT($E70),"DEJA SAISI !",IF(A70="","",IF(ISERROR(VLOOKUP($A70,'[1]liste reference'!$A$7:$D$906,2,0)),IF(ISERROR(VLOOKUP($A70,'[1]liste reference'!$B$7:$D$906,1,0)),"code non répertorié ou synonyme",VLOOKUP($A70,'[1]liste reference'!$B$7:$D$906,1,0)),VLOOKUP(A70,'[1]liste reference'!$A$7:$D$906,2,0)))))</f>
        <v/>
      </c>
      <c r="L70" s="219"/>
      <c r="M70" s="219"/>
      <c r="N70" s="219"/>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0"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1"/>
      <c r="AA70" s="212"/>
      <c r="BB70" s="8" t="str">
        <f aca="false">IF(A70="","",1)</f>
        <v/>
      </c>
    </row>
    <row r="71" customFormat="false" ht="12.75" hidden="false" customHeight="false" outlineLevel="0" collapsed="false">
      <c r="A71" s="221"/>
      <c r="B71" s="222"/>
      <c r="C71" s="213"/>
      <c r="D71" s="214" t="str">
        <f aca="false">IF(ISERROR(VLOOKUP($A71,'[1]liste reference'!$A$7:$D$906,2,0)),IF(ISERROR(VLOOKUP($A71,'[1]liste reference'!$B$7:$D$906,1,0)),"",VLOOKUP($A71,'[1]liste reference'!$B$7:$D$906,1,0)),VLOOKUP($A71,'[1]liste reference'!$A$7:$D$906,2,0))</f>
        <v/>
      </c>
      <c r="E71" s="214" t="n">
        <f aca="false">IF(D71="",0,VLOOKUP(D71,D$22:D55,1,0))</f>
        <v>0</v>
      </c>
      <c r="F71" s="225" t="n">
        <f aca="false">($B71*$B$7+$C71*$C$7)/100</f>
        <v>0</v>
      </c>
      <c r="G71" s="216"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7"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8" t="str">
        <f aca="false">IF(A71="NEW.COD",AA71,IF(ISTEXT($E71),"DEJA SAISI !",IF(A71="","",IF(ISERROR(VLOOKUP($A71,'[1]liste reference'!$A$7:$D$906,2,0)),IF(ISERROR(VLOOKUP($A71,'[1]liste reference'!$B$7:$D$906,1,0)),"code non répertorié ou synonyme",VLOOKUP($A71,'[1]liste reference'!$B$7:$D$906,1,0)),VLOOKUP(A71,'[1]liste reference'!$A$7:$D$906,2,0)))))</f>
        <v/>
      </c>
      <c r="L71" s="219"/>
      <c r="M71" s="219"/>
      <c r="N71" s="219"/>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0"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1"/>
      <c r="AA71" s="212"/>
      <c r="BB71" s="8" t="str">
        <f aca="false">IF(A71="","",1)</f>
        <v/>
      </c>
    </row>
    <row r="72" customFormat="false" ht="12.75" hidden="false" customHeight="false" outlineLevel="0" collapsed="false">
      <c r="A72" s="221"/>
      <c r="B72" s="222"/>
      <c r="C72" s="213"/>
      <c r="D72" s="214" t="str">
        <f aca="false">IF(ISERROR(VLOOKUP($A72,'[1]liste reference'!$A$7:$D$906,2,0)),IF(ISERROR(VLOOKUP($A72,'[1]liste reference'!$B$7:$D$906,1,0)),"",VLOOKUP($A72,'[1]liste reference'!$B$7:$D$906,1,0)),VLOOKUP($A72,'[1]liste reference'!$A$7:$D$906,2,0))</f>
        <v/>
      </c>
      <c r="E72" s="214" t="n">
        <f aca="false">IF(D72="",0,VLOOKUP(D72,D$22:D56,1,0))</f>
        <v>0</v>
      </c>
      <c r="F72" s="225" t="n">
        <f aca="false">($B72*$B$7+$C72*$C$7)/100</f>
        <v>0</v>
      </c>
      <c r="G72" s="216"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7"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8" t="str">
        <f aca="false">IF(A72="NEW.COD",AA72,IF(ISTEXT($E72),"DEJA SAISI !",IF(A72="","",IF(ISERROR(VLOOKUP($A72,'[1]liste reference'!$A$7:$D$906,2,0)),IF(ISERROR(VLOOKUP($A72,'[1]liste reference'!$B$7:$D$906,1,0)),"code non répertorié ou synonyme",VLOOKUP($A72,'[1]liste reference'!$B$7:$D$906,1,0)),VLOOKUP(A72,'[1]liste reference'!$A$7:$D$906,2,0)))))</f>
        <v/>
      </c>
      <c r="L72" s="219"/>
      <c r="M72" s="219"/>
      <c r="N72" s="219"/>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0"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1"/>
      <c r="AA72" s="212"/>
      <c r="BB72" s="8" t="str">
        <f aca="false">IF(A72="","",1)</f>
        <v/>
      </c>
    </row>
    <row r="73" customFormat="false" ht="12.75" hidden="false" customHeight="false" outlineLevel="0" collapsed="false">
      <c r="A73" s="221"/>
      <c r="B73" s="222"/>
      <c r="C73" s="213"/>
      <c r="D73" s="214" t="str">
        <f aca="false">IF(ISERROR(VLOOKUP($A73,'[1]liste reference'!$A$7:$D$906,2,0)),IF(ISERROR(VLOOKUP($A73,'[1]liste reference'!$B$7:$D$906,1,0)),"",VLOOKUP($A73,'[1]liste reference'!$B$7:$D$906,1,0)),VLOOKUP($A73,'[1]liste reference'!$A$7:$D$906,2,0))</f>
        <v/>
      </c>
      <c r="E73" s="214" t="n">
        <f aca="false">IF(D73="",0,VLOOKUP(D73,D$22:D56,1,0))</f>
        <v>0</v>
      </c>
      <c r="F73" s="225" t="n">
        <f aca="false">($B73*$B$7+$C73*$C$7)/100</f>
        <v>0</v>
      </c>
      <c r="G73" s="216"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7"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8" t="str">
        <f aca="false">IF(A73="NEW.COD",AA73,IF(ISTEXT($E73),"DEJA SAISI !",IF(A73="","",IF(ISERROR(VLOOKUP($A73,'[1]liste reference'!$A$7:$D$906,2,0)),IF(ISERROR(VLOOKUP($A73,'[1]liste reference'!$B$7:$D$906,1,0)),"code non répertorié ou synonyme",VLOOKUP($A73,'[1]liste reference'!$B$7:$D$906,1,0)),VLOOKUP(A73,'[1]liste reference'!$A$7:$D$906,2,0)))))</f>
        <v/>
      </c>
      <c r="L73" s="219"/>
      <c r="M73" s="219"/>
      <c r="N73" s="219"/>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0"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1"/>
      <c r="AA73" s="212"/>
      <c r="BB73" s="8" t="str">
        <f aca="false">IF(A73="","",1)</f>
        <v/>
      </c>
    </row>
    <row r="74" customFormat="false" ht="12.75" hidden="false" customHeight="false" outlineLevel="0" collapsed="false">
      <c r="A74" s="221"/>
      <c r="B74" s="222"/>
      <c r="C74" s="213"/>
      <c r="D74" s="214" t="str">
        <f aca="false">IF(ISERROR(VLOOKUP($A74,'[1]liste reference'!$A$7:$D$906,2,0)),IF(ISERROR(VLOOKUP($A74,'[1]liste reference'!$B$7:$D$906,1,0)),"",VLOOKUP($A74,'[1]liste reference'!$B$7:$D$906,1,0)),VLOOKUP($A74,'[1]liste reference'!$A$7:$D$906,2,0))</f>
        <v/>
      </c>
      <c r="E74" s="214" t="n">
        <f aca="false">IF(D74="",0,VLOOKUP(D74,D$22:D72,1,0))</f>
        <v>0</v>
      </c>
      <c r="F74" s="225" t="n">
        <f aca="false">($B74*$B$7+$C74*$C$7)/100</f>
        <v>0</v>
      </c>
      <c r="G74" s="216"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7"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8" t="str">
        <f aca="false">IF(A74="NEW.COD",AA74,IF(ISTEXT($E74),"DEJA SAISI !",IF(A74="","",IF(ISERROR(VLOOKUP($A74,'[1]liste reference'!$A$7:$D$906,2,0)),IF(ISERROR(VLOOKUP($A74,'[1]liste reference'!$B$7:$D$906,1,0)),"code non répertorié ou synonyme",VLOOKUP($A74,'[1]liste reference'!$B$7:$D$906,1,0)),VLOOKUP(A74,'[1]liste reference'!$A$7:$D$906,2,0)))))</f>
        <v/>
      </c>
      <c r="L74" s="219"/>
      <c r="M74" s="219"/>
      <c r="N74" s="219"/>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0"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1"/>
      <c r="AA74" s="212"/>
      <c r="BB74" s="8" t="str">
        <f aca="false">IF(A74="","",1)</f>
        <v/>
      </c>
    </row>
    <row r="75" customFormat="false" ht="12.75" hidden="false" customHeight="false" outlineLevel="0" collapsed="false">
      <c r="A75" s="221"/>
      <c r="B75" s="222"/>
      <c r="C75" s="213"/>
      <c r="D75" s="214" t="str">
        <f aca="false">IF(ISERROR(VLOOKUP($A75,'[1]liste reference'!$A$7:$D$906,2,0)),IF(ISERROR(VLOOKUP($A75,'[1]liste reference'!$B$7:$D$906,1,0)),"",VLOOKUP($A75,'[1]liste reference'!$B$7:$D$906,1,0)),VLOOKUP($A75,'[1]liste reference'!$A$7:$D$906,2,0))</f>
        <v/>
      </c>
      <c r="E75" s="214" t="n">
        <f aca="false">IF(D75="",0,VLOOKUP(D75,D$22:D72,1,0))</f>
        <v>0</v>
      </c>
      <c r="F75" s="225" t="n">
        <f aca="false">($B75*$B$7+$C75*$C$7)/100</f>
        <v>0</v>
      </c>
      <c r="G75" s="216"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7"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8" t="str">
        <f aca="false">IF(A75="NEW.COD",AA75,IF(ISTEXT($E75),"DEJA SAISI !",IF(A75="","",IF(ISERROR(VLOOKUP($A75,'[1]liste reference'!$A$7:$D$906,2,0)),IF(ISERROR(VLOOKUP($A75,'[1]liste reference'!$B$7:$D$906,1,0)),"code non répertorié ou synonyme",VLOOKUP($A75,'[1]liste reference'!$B$7:$D$906,1,0)),VLOOKUP(A75,'[1]liste reference'!$A$7:$D$906,2,0)))))</f>
        <v/>
      </c>
      <c r="L75" s="219"/>
      <c r="M75" s="219"/>
      <c r="N75" s="219"/>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0"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1"/>
      <c r="AA75" s="212"/>
      <c r="BB75" s="8" t="str">
        <f aca="false">IF(A75="","",1)</f>
        <v/>
      </c>
    </row>
    <row r="76" customFormat="false" ht="12.75" hidden="false" customHeight="false" outlineLevel="0" collapsed="false">
      <c r="A76" s="221"/>
      <c r="B76" s="222"/>
      <c r="C76" s="213"/>
      <c r="D76" s="214" t="str">
        <f aca="false">IF(ISERROR(VLOOKUP($A76,'[1]liste reference'!$A$7:$D$906,2,0)),IF(ISERROR(VLOOKUP($A76,'[1]liste reference'!$B$7:$D$906,1,0)),"",VLOOKUP($A76,'[1]liste reference'!$B$7:$D$906,1,0)),VLOOKUP($A76,'[1]liste reference'!$A$7:$D$906,2,0))</f>
        <v/>
      </c>
      <c r="E76" s="214" t="n">
        <f aca="false">IF(D76="",0,VLOOKUP(D76,D$22:D72,1,0))</f>
        <v>0</v>
      </c>
      <c r="F76" s="225" t="n">
        <f aca="false">($B76*$B$7+$C76*$C$7)/100</f>
        <v>0</v>
      </c>
      <c r="G76" s="216"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7"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8" t="str">
        <f aca="false">IF(A76="NEW.COD",AA76,IF(ISTEXT($E76),"DEJA SAISI !",IF(A76="","",IF(ISERROR(VLOOKUP($A76,'[1]liste reference'!$A$7:$D$906,2,0)),IF(ISERROR(VLOOKUP($A76,'[1]liste reference'!$B$7:$D$906,1,0)),"code non répertorié ou synonyme",VLOOKUP($A76,'[1]liste reference'!$B$7:$D$906,1,0)),VLOOKUP(A76,'[1]liste reference'!$A$7:$D$906,2,0)))))</f>
        <v/>
      </c>
      <c r="L76" s="219"/>
      <c r="M76" s="219"/>
      <c r="N76" s="219"/>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0"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1"/>
      <c r="AA76" s="212"/>
      <c r="BB76" s="8" t="str">
        <f aca="false">IF(A76="","",1)</f>
        <v/>
      </c>
    </row>
    <row r="77" customFormat="false" ht="12.75" hidden="false" customHeight="false" outlineLevel="0" collapsed="false">
      <c r="A77" s="221"/>
      <c r="B77" s="222"/>
      <c r="C77" s="213"/>
      <c r="D77" s="214" t="str">
        <f aca="false">IF(ISERROR(VLOOKUP($A77,'[1]liste reference'!$A$7:$D$906,2,0)),IF(ISERROR(VLOOKUP($A77,'[1]liste reference'!$B$7:$D$906,1,0)),"",VLOOKUP($A77,'[1]liste reference'!$B$7:$D$906,1,0)),VLOOKUP($A77,'[1]liste reference'!$A$7:$D$906,2,0))</f>
        <v/>
      </c>
      <c r="E77" s="214" t="n">
        <f aca="false">IF(D77="",0,VLOOKUP(D77,D$22:D62,1,0))</f>
        <v>0</v>
      </c>
      <c r="F77" s="225" t="n">
        <f aca="false">($B77*$B$7+$C77*$C$7)/100</f>
        <v>0</v>
      </c>
      <c r="G77" s="216"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7"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8" t="str">
        <f aca="false">IF(A77="NEW.COD",AA77,IF(ISTEXT($E77),"DEJA SAISI !",IF(A77="","",IF(ISERROR(VLOOKUP($A77,'[1]liste reference'!$A$7:$D$906,2,0)),IF(ISERROR(VLOOKUP($A77,'[1]liste reference'!$B$7:$D$906,1,0)),"code non répertorié ou synonyme",VLOOKUP($A77,'[1]liste reference'!$B$7:$D$906,1,0)),VLOOKUP(A77,'[1]liste reference'!$A$7:$D$906,2,0)))))</f>
        <v/>
      </c>
      <c r="L77" s="219"/>
      <c r="M77" s="219"/>
      <c r="N77" s="219"/>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0"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1"/>
      <c r="AA77" s="212"/>
      <c r="BB77" s="8" t="str">
        <f aca="false">IF(A77="","",1)</f>
        <v/>
      </c>
    </row>
    <row r="78" customFormat="false" ht="12.75" hidden="false" customHeight="false" outlineLevel="0" collapsed="false">
      <c r="A78" s="221"/>
      <c r="B78" s="222"/>
      <c r="C78" s="213"/>
      <c r="D78" s="214" t="str">
        <f aca="false">IF(ISERROR(VLOOKUP($A78,'[1]liste reference'!$A$7:$D$906,2,0)),IF(ISERROR(VLOOKUP($A78,'[1]liste reference'!$B$7:$D$906,1,0)),"",VLOOKUP($A78,'[1]liste reference'!$B$7:$D$906,1,0)),VLOOKUP($A78,'[1]liste reference'!$A$7:$D$906,2,0))</f>
        <v/>
      </c>
      <c r="E78" s="214" t="n">
        <f aca="false">IF(D78="",0,VLOOKUP(D78,D$22:D63,1,0))</f>
        <v>0</v>
      </c>
      <c r="F78" s="225" t="n">
        <f aca="false">($B78*$B$7+$C78*$C$7)/100</f>
        <v>0</v>
      </c>
      <c r="G78" s="216"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7"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8" t="str">
        <f aca="false">IF(A78="NEW.COD",AA78,IF(ISTEXT($E78),"DEJA SAISI !",IF(A78="","",IF(ISERROR(VLOOKUP($A78,'[1]liste reference'!$A$7:$D$906,2,0)),IF(ISERROR(VLOOKUP($A78,'[1]liste reference'!$B$7:$D$906,1,0)),"code non répertorié ou synonyme",VLOOKUP($A78,'[1]liste reference'!$B$7:$D$906,1,0)),VLOOKUP(A78,'[1]liste reference'!$A$7:$D$906,2,0)))))</f>
        <v/>
      </c>
      <c r="L78" s="219"/>
      <c r="M78" s="219"/>
      <c r="N78" s="219"/>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0"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1"/>
      <c r="AA78" s="212"/>
      <c r="BB78" s="8" t="str">
        <f aca="false">IF(A78="","",1)</f>
        <v/>
      </c>
    </row>
    <row r="79" customFormat="false" ht="12.75" hidden="false" customHeight="false" outlineLevel="0" collapsed="false">
      <c r="A79" s="221"/>
      <c r="B79" s="222"/>
      <c r="C79" s="213"/>
      <c r="D79" s="214" t="str">
        <f aca="false">IF(ISERROR(VLOOKUP($A79,'[1]liste reference'!$A$7:$D$906,2,0)),IF(ISERROR(VLOOKUP($A79,'[1]liste reference'!$B$7:$D$906,1,0)),"",VLOOKUP($A79,'[1]liste reference'!$B$7:$D$906,1,0)),VLOOKUP($A79,'[1]liste reference'!$A$7:$D$906,2,0))</f>
        <v/>
      </c>
      <c r="E79" s="214" t="n">
        <f aca="false">IF(D79="",0,VLOOKUP(D79,D$22:D63,1,0))</f>
        <v>0</v>
      </c>
      <c r="F79" s="225" t="n">
        <f aca="false">($B79*$B$7+$C79*$C$7)/100</f>
        <v>0</v>
      </c>
      <c r="G79" s="216"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7"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8" t="str">
        <f aca="false">IF(A79="NEW.COD",AA79,IF(ISTEXT($E79),"DEJA SAISI !",IF(A79="","",IF(ISERROR(VLOOKUP($A79,'[1]liste reference'!$A$7:$D$906,2,0)),IF(ISERROR(VLOOKUP($A79,'[1]liste reference'!$B$7:$D$906,1,0)),"code non répertorié ou synonyme",VLOOKUP($A79,'[1]liste reference'!$B$7:$D$906,1,0)),VLOOKUP(A79,'[1]liste reference'!$A$7:$D$906,2,0)))))</f>
        <v/>
      </c>
      <c r="L79" s="219"/>
      <c r="M79" s="219"/>
      <c r="N79" s="219"/>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0"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1"/>
      <c r="AA79" s="212"/>
      <c r="BB79" s="8" t="str">
        <f aca="false">IF(A79="","",1)</f>
        <v/>
      </c>
    </row>
    <row r="80" customFormat="false" ht="12.75" hidden="false" customHeight="false" outlineLevel="0" collapsed="false">
      <c r="A80" s="221"/>
      <c r="B80" s="222"/>
      <c r="C80" s="213"/>
      <c r="D80" s="214" t="str">
        <f aca="false">IF(ISERROR(VLOOKUP($A80,'[1]liste reference'!$A$7:$D$906,2,0)),IF(ISERROR(VLOOKUP($A80,'[1]liste reference'!$B$7:$D$906,1,0)),"",VLOOKUP($A80,'[1]liste reference'!$B$7:$D$906,1,0)),VLOOKUP($A80,'[1]liste reference'!$A$7:$D$906,2,0))</f>
        <v/>
      </c>
      <c r="E80" s="214" t="n">
        <f aca="false">IF(D80="",0,VLOOKUP(D80,D$22:D79,1,0))</f>
        <v>0</v>
      </c>
      <c r="F80" s="225" t="n">
        <f aca="false">($B80*$B$7+$C80*$C$7)/100</f>
        <v>0</v>
      </c>
      <c r="G80" s="216"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7"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8" t="str">
        <f aca="false">IF(A80="NEW.COD",AA80,IF(ISTEXT($E80),"DEJA SAISI !",IF(A80="","",IF(ISERROR(VLOOKUP($A80,'[1]liste reference'!$A$7:$D$906,2,0)),IF(ISERROR(VLOOKUP($A80,'[1]liste reference'!$B$7:$D$906,1,0)),"code non répertorié ou synonyme",VLOOKUP($A80,'[1]liste reference'!$B$7:$D$906,1,0)),VLOOKUP(A80,'[1]liste reference'!$A$7:$D$906,2,0)))))</f>
        <v/>
      </c>
      <c r="L80" s="219"/>
      <c r="M80" s="219"/>
      <c r="N80" s="219"/>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0"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1"/>
      <c r="AA80" s="212"/>
      <c r="BB80" s="8" t="str">
        <f aca="false">IF(A80="","",1)</f>
        <v/>
      </c>
    </row>
    <row r="81" customFormat="false" ht="12.75" hidden="false" customHeight="false" outlineLevel="0" collapsed="false">
      <c r="A81" s="221"/>
      <c r="B81" s="222"/>
      <c r="C81" s="213"/>
      <c r="D81" s="214" t="str">
        <f aca="false">IF(ISERROR(VLOOKUP($A81,'[1]liste reference'!$A$7:$D$906,2,0)),IF(ISERROR(VLOOKUP($A81,'[1]liste reference'!$B$7:$D$906,1,0)),"",VLOOKUP($A81,'[1]liste reference'!$B$7:$D$906,1,0)),VLOOKUP($A81,'[1]liste reference'!$A$7:$D$906,2,0))</f>
        <v/>
      </c>
      <c r="E81" s="214" t="n">
        <f aca="false">IF(D81="",0,VLOOKUP(D81,D$21:D80,1,0))</f>
        <v>0</v>
      </c>
      <c r="F81" s="225" t="n">
        <f aca="false">($B81*$B$7+$C81*$C$7)/100</f>
        <v>0</v>
      </c>
      <c r="G81" s="216"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7"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8"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0"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1"/>
      <c r="AA81" s="212"/>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0"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1"/>
      <c r="AA82" s="212"/>
      <c r="BB82" s="8" t="str">
        <f aca="false">IF(A82="","",1)</f>
        <v/>
      </c>
    </row>
    <row r="83" customFormat="false" ht="15" hidden="true" customHeight="false" outlineLevel="0" collapsed="false">
      <c r="A83" s="240" t="s">
        <v>108</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LOIRE</v>
      </c>
      <c r="B84" s="245" t="str">
        <f aca="false">C3</f>
        <v>St-Eulalie</v>
      </c>
      <c r="C84" s="246" t="n">
        <f aca="false">A4</f>
        <v>39253</v>
      </c>
      <c r="D84" s="247" t="n">
        <f aca="false">IF(ISERROR(SUM($S$23:$S$82)/SUM($T$23:$T$82)),"",SUM($S$23:$S$82)/SUM($T$23:$T$82))</f>
        <v>14.4375</v>
      </c>
      <c r="E84" s="248" t="n">
        <f aca="false">N13</f>
        <v>33</v>
      </c>
      <c r="F84" s="245" t="n">
        <f aca="false">N14</f>
        <v>23</v>
      </c>
      <c r="G84" s="245" t="n">
        <f aca="false">N15</f>
        <v>8</v>
      </c>
      <c r="H84" s="245" t="n">
        <f aca="false">N16</f>
        <v>10</v>
      </c>
      <c r="I84" s="245" t="n">
        <f aca="false">N17</f>
        <v>5</v>
      </c>
      <c r="J84" s="249" t="n">
        <f aca="false">N8</f>
        <v>13.0434782608696</v>
      </c>
      <c r="K84" s="247" t="n">
        <f aca="false">N9</f>
        <v>3.24006538752153</v>
      </c>
      <c r="L84" s="248" t="n">
        <f aca="false">N10</f>
        <v>6</v>
      </c>
      <c r="M84" s="248" t="n">
        <f aca="false">N11</f>
        <v>19</v>
      </c>
      <c r="N84" s="247" t="n">
        <f aca="false">O8</f>
        <v>1.8695652173913</v>
      </c>
      <c r="O84" s="247" t="n">
        <f aca="false">O9</f>
        <v>0.757048564917911</v>
      </c>
      <c r="P84" s="248" t="n">
        <f aca="false">O10</f>
        <v>1</v>
      </c>
      <c r="Q84" s="248" t="n">
        <f aca="false">O11</f>
        <v>3</v>
      </c>
      <c r="R84" s="250" t="n">
        <f aca="false">F21</f>
        <v>5.769</v>
      </c>
      <c r="S84" s="248" t="n">
        <f aca="false">K11</f>
        <v>0</v>
      </c>
      <c r="T84" s="248" t="n">
        <f aca="false">K12</f>
        <v>10</v>
      </c>
      <c r="U84" s="248" t="n">
        <f aca="false">K13</f>
        <v>11</v>
      </c>
      <c r="V84" s="251" t="n">
        <f aca="false">K14</f>
        <v>1</v>
      </c>
      <c r="W84" s="252" t="n">
        <f aca="false">K15</f>
        <v>7</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109</v>
      </c>
      <c r="Q86" s="8"/>
      <c r="R86" s="208"/>
      <c r="S86" s="8"/>
      <c r="T86" s="8"/>
      <c r="U86" s="8"/>
    </row>
    <row r="87" customFormat="false" ht="12.75" hidden="true" customHeight="false" outlineLevel="0" collapsed="false">
      <c r="P87" s="8" t="s">
        <v>110</v>
      </c>
      <c r="Q87" s="8"/>
      <c r="R87" s="208" t="n">
        <f aca="false">VLOOKUP(MAX($R$23:$R$82),($R$23:$T$82),1,0)</f>
        <v>45</v>
      </c>
      <c r="S87" s="8"/>
      <c r="T87" s="8"/>
      <c r="U87" s="8"/>
    </row>
    <row r="88" customFormat="false" ht="12.75" hidden="true" customHeight="false" outlineLevel="0" collapsed="false">
      <c r="P88" s="8" t="s">
        <v>111</v>
      </c>
      <c r="Q88" s="8"/>
      <c r="R88" s="208" t="n">
        <f aca="false">VLOOKUP((R87),($R$23:$T$82),2,0)</f>
        <v>90</v>
      </c>
      <c r="S88" s="8"/>
      <c r="T88" s="8"/>
      <c r="U88" s="8"/>
    </row>
    <row r="89" customFormat="false" ht="12.75" hidden="true" customHeight="false" outlineLevel="0" collapsed="false">
      <c r="P89" s="8" t="s">
        <v>112</v>
      </c>
      <c r="Q89" s="8"/>
      <c r="R89" s="208" t="n">
        <f aca="false">VLOOKUP((R87),($R$23:$T$82),3,0)</f>
        <v>6</v>
      </c>
      <c r="S89" s="8"/>
    </row>
    <row r="90" customFormat="false" ht="12.75" hidden="true" customHeight="false" outlineLevel="0" collapsed="false">
      <c r="P90" s="8" t="s">
        <v>113</v>
      </c>
      <c r="Q90" s="8"/>
      <c r="R90" s="254" t="n">
        <f aca="false">IF(ISERROR(SUM($S$23:$S$82)/SUM($T$23:$T$82)),"",(SUM($S$23:$S$82)-R88)/(SUM($T$23:$T$82)-R89))</f>
        <v>14.3793103448276</v>
      </c>
      <c r="S90" s="8"/>
    </row>
    <row r="91" customFormat="false" ht="12.75" hidden="true" customHeight="false" outlineLevel="0" collapsed="false">
      <c r="P91" s="207" t="s">
        <v>114</v>
      </c>
      <c r="Q91" s="207"/>
      <c r="R91" s="207" t="str">
        <f aca="false">INDEX('[1]liste reference'!$A$7:$A$906,$S$91)</f>
        <v>LEA.SPX</v>
      </c>
      <c r="S91" s="8" t="n">
        <f aca="false">IF(ISERROR(MATCH($R$93,'[1]liste reference'!$A$7:$A$906,0)),MATCH($R$93,'[1]liste reference'!$B$7:$B$906,0),(MATCH($R$93,'[1]liste reference'!$A$7:$A$906,0)))</f>
        <v>35</v>
      </c>
      <c r="T91" s="243"/>
    </row>
    <row r="92" customFormat="false" ht="12.75" hidden="true" customHeight="false" outlineLevel="0" collapsed="false">
      <c r="P92" s="8" t="s">
        <v>115</v>
      </c>
      <c r="Q92" s="8"/>
      <c r="R92" s="8" t="n">
        <f aca="false">MATCH(R87,$R$23:$R$82,0)</f>
        <v>4</v>
      </c>
      <c r="S92" s="8"/>
    </row>
    <row r="93" customFormat="false" ht="12.75" hidden="true" customHeight="false" outlineLevel="0" collapsed="false">
      <c r="P93" s="207" t="s">
        <v>116</v>
      </c>
      <c r="Q93" s="8"/>
      <c r="R93" s="207" t="str">
        <f aca="false">INDEX($A$23:$A$82,$R$92)</f>
        <v>LEA.SPX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2024-01-10T09:48:48Z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