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100" sheetId="1" r:id="rId1"/>
  </sheets>
  <definedNames>
    <definedName name="Excel_BuiltIn_Print_Area" localSheetId="0">'04000100'!$A$1:$O$82</definedName>
    <definedName name="Excel_BuiltIn__FilterDatabase" localSheetId="0">'04000100'!$A$23:$J$84</definedName>
    <definedName name="NOM" localSheetId="0">'04000100'!$H$1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<sst xmlns="http://schemas.openxmlformats.org/spreadsheetml/2006/main" count="125" uniqueCount="116">
  <si>
    <t>Relevés floristiques aquatiques - IBMR</t>
  </si>
  <si>
    <t xml:space="preserve">Formulaire modèle GIS Macrophytes v 3.1.1 - janvier 2013  </t>
  </si>
  <si>
    <t>AQUABIO</t>
  </si>
  <si>
    <t>Laetitia BLANCHARD, Marlène MEYNARD</t>
  </si>
  <si>
    <t>conforme AFNOR T90-395 oct. 2003</t>
  </si>
  <si>
    <t>la Loire</t>
  </si>
  <si>
    <t>LOIRE à SAINTE-EULALIE</t>
  </si>
  <si>
    <t>04000100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</si>
  <si>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</si>
  <si>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</si>
  <si>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</si>
  <si>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</si>
  <si>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</si>
  <si>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</si>
  <si>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</si>
  <si>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</si>
  <si>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</si>
  <si>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</si>
  <si>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autre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</si>
  <si>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</si>
  <si>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</si>
  <si>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</si>
  <si>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</si>
  <si>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</si>
  <si>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</si>
  <si>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</si>
  <si>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</si>
  <si>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</si>
  <si>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</si>
  <si>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</si>
  <si>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</si>
  <si>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</si>
  <si>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</si>
  <si>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</si>
  <si>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</si>
  <si>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</si>
  <si>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</si>
  <si>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</si>
  <si>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</si>
  <si>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</si>
  <si>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</si>
  <si>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</si>
  <si>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</si>
  <si>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</si>
  <si>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</si>
  <si>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</si>
  <si>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</si>
  <si>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</si>
  <si>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</si>
  <si>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</si>
  <si>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</si>
  <si>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</si>
  <si>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</si>
  <si>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</si>
  <si>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</si>
  <si>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</si>
  <si>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</si>
  <si>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</si>
  <si>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(0,152999998368323 %)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</si>
  <si>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</si>
  <si>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</si>
  <si>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</si>
  <si>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</si>
  <si>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</si>
  <si>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</si>
  <si>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</si>
  <si>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</si>
  <si>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</si>
  <si>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</si>
  <si>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</si>
  <si>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</si>
  <si>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</si>
  <si>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</si>
  <si>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</si>
  <si>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</si>
  <si>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</si>
  <si>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</si>
  <si>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</si>
  <si>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JUNFIL</t>
  </si>
  <si>
    <t>Newcod</t>
  </si>
  <si>
    <t xml:space="preserve"> Juncus subnodulosus</t>
  </si>
  <si>
    <t>CARNIG</t>
  </si>
  <si>
    <t>DESCES</t>
  </si>
  <si>
    <t>LOTPED</t>
  </si>
  <si>
    <t>Cynosurus cristatus</t>
  </si>
  <si>
    <t>PELEPI</t>
  </si>
  <si>
    <t>GLYFLU</t>
  </si>
  <si>
    <t>Sagina apetala</t>
  </si>
  <si>
    <t>VERBEC</t>
  </si>
  <si>
    <t>EQUFLU</t>
  </si>
  <si>
    <t>JUNACU</t>
  </si>
  <si>
    <t>RANREP</t>
  </si>
  <si>
    <t>MYOPAL</t>
  </si>
  <si>
    <t>DERWEB</t>
  </si>
  <si>
    <t>GALPAL</t>
  </si>
  <si>
    <t>MENLON</t>
  </si>
  <si>
    <t>Carex ovalis</t>
  </si>
  <si>
    <t>MACPOL</t>
  </si>
  <si>
    <t>LEASPX</t>
  </si>
  <si>
    <t>BRARIV</t>
  </si>
  <si>
    <t>CHIPOL</t>
  </si>
  <si>
    <t>BRYSPX</t>
  </si>
  <si>
    <t>Leptolyngbya sp.</t>
  </si>
  <si>
    <t>FONANT</t>
  </si>
  <si>
    <t>SCSRIV</t>
  </si>
  <si>
    <t>NOSSPX</t>
  </si>
  <si>
    <t>AMBFLU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</si>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</sst>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9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5" fillId="4" borderId="17" xfId="0" applyFont="1" applyBorder="1" applyAlignment="1" applyProtection="1">
      <alignment horizontal="center" vertical="top"/>
      <protection hidden="1"/>
    </xf>
    <xf numFmtId="164" fontId="16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7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8" fillId="8" borderId="31" xfId="0" applyFont="1" applyBorder="1" applyAlignment="1" applyProtection="1">
      <alignment horizontal="left" vertical="top"/>
      <protection hidden="1"/>
    </xf>
    <xf numFmtId="164" fontId="19" fillId="8" borderId="13" xfId="0" applyFont="1" applyBorder="1" applyAlignment="1" applyProtection="1">
      <alignment horizontal="left" vertical="top"/>
      <protection hidden="1"/>
    </xf>
    <xf numFmtId="164" fontId="19" fillId="8" borderId="32" xfId="0" applyFont="1" applyBorder="1" applyAlignment="1" applyProtection="1">
      <alignment horizontal="left" vertical="top"/>
      <protection hidden="1"/>
    </xf>
    <xf numFmtId="164" fontId="19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0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1" fillId="7" borderId="2" xfId="0" applyFont="1" applyBorder="1" applyAlignment="1" applyProtection="1">
      <alignment horizontal="right"/>
      <protection hidden="1"/>
    </xf>
    <xf numFmtId="170" fontId="21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2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0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8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19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23" fillId="7" borderId="1" xfId="0" applyFont="1" applyBorder="1" applyAlignment="1" applyProtection="1">
      <alignment/>
      <protection hidden="1"/>
    </xf>
    <xf numFmtId="164" fontId="23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4" fillId="3" borderId="2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5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3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6" fillId="9" borderId="0" xfId="0" applyFont="1" applyBorder="1" applyAlignment="1" applyProtection="1">
      <alignment/>
      <protection hidden="1"/>
    </xf>
    <xf numFmtId="164" fontId="26" fillId="9" borderId="13" xfId="0" applyFont="1" applyBorder="1" applyAlignment="1" applyProtection="1">
      <alignment/>
      <protection hidden="1"/>
    </xf>
    <xf numFmtId="164" fontId="26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5" fillId="9" borderId="18" xfId="0" applyFont="1" applyBorder="1" applyAlignment="1" applyProtection="1">
      <alignment horizontal="center"/>
      <protection hidden="1"/>
    </xf>
    <xf numFmtId="170" fontId="25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8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7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5" fillId="3" borderId="0" xfId="0" applyFont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6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7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7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7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6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41843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13.96</v>
      </c>
      <c r="M5" s="53"/>
      <c r="N5" s="54" t="s">
        <v>16</v>
      </c>
      <c r="O5" s="55">
        <v>13.5454545454545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18</v>
      </c>
      <c r="D6" s="46"/>
      <c r="E6" s="46"/>
      <c r="F6" s="47"/>
      <c r="G6" s="48"/>
      <c r="H6" s="46"/>
      <c r="I6" s="58" t="s">
        <v>19</v>
      </c>
      <c r="J6" s="59"/>
      <c r="K6" s="60"/>
      <c r="L6" s="61" t="s">
        <v>20</v>
      </c>
      <c r="M6" s="62"/>
      <c r="N6" s="63" t="s">
        <v>21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22</v>
      </c>
      <c r="B7" s="66">
        <v>98</v>
      </c>
      <c r="C7" s="67">
        <v>2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23</v>
      </c>
      <c r="O7" s="77" t="s">
        <v>24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25</v>
      </c>
      <c r="B8" s="79"/>
      <c r="C8" s="79"/>
      <c r="D8" s="68"/>
      <c r="E8" s="68"/>
      <c r="F8" s="80" t="s">
        <v>26</v>
      </c>
      <c r="G8" s="81"/>
      <c r="H8" s="82"/>
      <c r="I8" s="71"/>
      <c r="J8" s="72"/>
      <c r="K8" s="73"/>
      <c r="L8" s="74"/>
      <c r="M8" s="83" t="s">
        <v>27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28</v>
      </c>
      <c r="B9" s="86">
        <v>0.00999999977648258</v>
      </c>
      <c r="C9" s="87">
        <v>3</v>
      </c>
      <c r="D9" s="88"/>
      <c r="E9" s="88"/>
      <c r="F9" s="89">
        <f>($B9*$B$7+$C9*$C$7)/100</f>
        <v>0.0697999997809529</v>
      </c>
      <c r="G9" s="90"/>
      <c r="H9" s="91"/>
      <c r="I9" s="92"/>
      <c r="J9" s="93"/>
      <c r="K9" s="73"/>
      <c r="L9" s="94"/>
      <c r="M9" s="83" t="s">
        <v>29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30</v>
      </c>
      <c r="B10" s="98"/>
      <c r="C10" s="99"/>
      <c r="D10" s="100"/>
      <c r="E10" s="100"/>
      <c r="F10" s="89"/>
      <c r="G10" s="90"/>
      <c r="H10" s="101"/>
      <c r="I10" s="102"/>
      <c r="J10" s="103" t="s">
        <v>31</v>
      </c>
      <c r="K10" s="103"/>
      <c r="L10" s="104"/>
      <c r="M10" s="105" t="s">
        <v>32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33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34</v>
      </c>
      <c r="J11" s="114"/>
      <c r="K11" s="115">
        <f>COUNTIF($G$23:$G$82,"=HET")</f>
        <v>0</v>
      </c>
      <c r="L11" s="116"/>
      <c r="M11" s="105" t="s">
        <v>35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36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37</v>
      </c>
      <c r="J12" s="121"/>
      <c r="K12" s="115">
        <f>COUNTIF($G$23:$G$82,"=ALG")</f>
        <v>0</v>
      </c>
      <c r="L12" s="122"/>
      <c r="M12" s="123"/>
      <c r="N12" s="124" t="s">
        <v>31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38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39</v>
      </c>
      <c r="J13" s="121"/>
      <c r="K13" s="115">
        <f>COUNTIF($G$23:$G$82,"=BRm")+COUNTIF($G$23:$G$82,"=BRh")</f>
        <v>0</v>
      </c>
      <c r="L13" s="116"/>
      <c r="M13" s="127" t="s">
        <v>40</v>
      </c>
      <c r="N13" s="128">
        <f>COUNTIF(F23:F82,"&gt;0")</f>
        <v>29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41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42</v>
      </c>
      <c r="J14" s="121"/>
      <c r="K14" s="115">
        <f>COUNTIF($G$23:$G$82,"=PTE")+COUNTIF($G$23:$G$82,"=LIC")</f>
        <v>0</v>
      </c>
      <c r="L14" s="116"/>
      <c r="M14" s="131" t="s">
        <v>43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44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45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46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47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48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49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50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51</v>
      </c>
      <c r="B18" s="145"/>
      <c r="C18" s="146"/>
      <c r="D18" s="111"/>
      <c r="E18" s="147" t="s">
        <v>52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53</v>
      </c>
      <c r="B20" s="165">
        <f>SUM(B23:B82)</f>
        <v>0.0999999977648258</v>
      </c>
      <c r="C20" s="166">
        <f>SUM(C23:C82)</f>
        <v>2.75000002793968</v>
      </c>
      <c r="D20" s="167"/>
      <c r="E20" s="168" t="s">
        <v>52</v>
      </c>
      <c r="F20" s="169">
        <f>($B20*$B$7+$C20*$C$7)/100</f>
        <v>0.152999998368323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54</v>
      </c>
      <c r="R20" s="10"/>
      <c r="S20" s="10"/>
      <c r="T20" s="10"/>
      <c r="U20" s="10"/>
      <c r="V20" s="10"/>
      <c r="W20" s="150" t="s">
        <v>55</v>
      </c>
    </row>
    <row r="21" spans="1:23" ht="12.75">
      <c r="A21" s="178" t="s">
        <v>56</v>
      </c>
      <c r="B21" s="179">
        <f>B20*B7/100</f>
        <v>0.0979999978095293</v>
      </c>
      <c r="C21" s="179">
        <f>C20*C7/100</f>
        <v>0.0550000005587935</v>
      </c>
      <c r="D21" s="111" t="str">
        <f>IF(F21=0,"",IF((ABS(F21-F19))&gt;(0.2*F21),CONCATENATE(" rec. par taxa (",F21," %) supérieur à 20 % !"),""))</f>
        <v> rec. par taxa (0,152999998368323 %)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0.152999998368323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57</v>
      </c>
      <c r="R21" s="10"/>
      <c r="S21" s="10"/>
      <c r="T21" s="10"/>
      <c r="U21" s="10"/>
      <c r="V21" s="10"/>
      <c r="W21" s="150" t="s">
        <v>58</v>
      </c>
    </row>
    <row r="22" spans="1:29" ht="12.75">
      <c r="A22" s="189" t="s">
        <v>59</v>
      </c>
      <c r="B22" s="190" t="s">
        <v>60</v>
      </c>
      <c r="C22" s="191" t="s">
        <v>60</v>
      </c>
      <c r="D22" s="140"/>
      <c r="E22" s="140"/>
      <c r="F22" s="192" t="s">
        <v>61</v>
      </c>
      <c r="G22" s="193" t="s">
        <v>62</v>
      </c>
      <c r="H22" s="140"/>
      <c r="I22" s="194" t="s">
        <v>63</v>
      </c>
      <c r="J22" s="194" t="s">
        <v>64</v>
      </c>
      <c r="K22" s="195" t="s">
        <v>65</v>
      </c>
      <c r="L22" s="195"/>
      <c r="M22" s="195"/>
      <c r="N22" s="195"/>
      <c r="O22" s="195"/>
      <c r="P22" s="196" t="s">
        <v>66</v>
      </c>
      <c r="Q22" s="197" t="s">
        <v>67</v>
      </c>
      <c r="R22" s="198" t="s">
        <v>68</v>
      </c>
      <c r="S22" s="199" t="s">
        <v>69</v>
      </c>
      <c r="T22" s="200" t="s">
        <v>70</v>
      </c>
      <c r="U22" s="201" t="s">
        <v>71</v>
      </c>
      <c r="V22" s="199" t="s">
        <v>72</v>
      </c>
      <c r="Y22" s="10" t="s">
        <v>73</v>
      </c>
      <c r="Z22" s="10" t="s">
        <v>74</v>
      </c>
      <c r="AA22" s="202" t="s">
        <v>75</v>
      </c>
      <c r="AB22" s="202" t="s">
        <v>76</v>
      </c>
      <c r="AC22" s="202" t="s">
        <v>77</v>
      </c>
    </row>
    <row r="23" spans="1:54" ht="12.75">
      <c r="A23" s="203" t="s">
        <v>78</v>
      </c>
      <c r="B23" s="204">
        <v>0</v>
      </c>
      <c r="C23" s="205">
        <v>0.300000011920929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0.00600000023841858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JUNFIL</v>
      </c>
      <c r="Z23" s="10" t="str">
        <f>IF(ISERROR(MATCH(A23,,0)),IF(ISERROR(MATCH(A23,,0)),"",(MATCH(A23,,0))),(MATCH(A23,,0)))</f>
        <v/>
      </c>
      <c r="AA23" s="220"/>
      <c r="AB23" s="221"/>
      <c r="AC23" s="221"/>
      <c r="BB23" s="10">
        <f>IF(A23="","",1)</f>
        <v>1</v>
      </c>
    </row>
    <row r="24" spans="1:54" ht="12.75">
      <c r="A24" s="222" t="s">
        <v>79</v>
      </c>
      <c r="B24" s="223">
        <v>0</v>
      </c>
      <c r="C24" s="224">
        <v>0.300000011920929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0.00600000023841858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Newcod</v>
      </c>
      <c r="Z24" s="10" t="str">
        <f>IF(ISERROR(MATCH(A24,,0)),IF(ISERROR(MATCH(A24,,0)),"",(MATCH(A24,,0))),(MATCH(A24,,0)))</f>
        <v/>
      </c>
      <c r="AA24" s="220"/>
      <c r="AB24" s="222" t="s">
        <v>80</v>
      </c>
      <c r="AC24" s="221"/>
      <c r="BB24" s="10">
        <f>IF(A24="","",1)</f>
        <v>1</v>
      </c>
    </row>
    <row r="25" spans="1:54" ht="12.75">
      <c r="A25" s="222" t="s">
        <v>81</v>
      </c>
      <c r="B25" s="223">
        <v>0</v>
      </c>
      <c r="C25" s="224">
        <v>0.300000011920929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0.00600000023841858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CARNIG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82</v>
      </c>
      <c r="B26" s="223">
        <v>0</v>
      </c>
      <c r="C26" s="224">
        <v>0.00999999977648258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0.000199999995529652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DESCES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83</v>
      </c>
      <c r="B27" s="223">
        <v>0</v>
      </c>
      <c r="C27" s="224">
        <v>0.00999999977648258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0.000199999995529652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LOTPED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79</v>
      </c>
      <c r="B28" s="223">
        <v>0</v>
      </c>
      <c r="C28" s="224">
        <v>0.00999999977648258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0.000199999995529652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Newcod</v>
      </c>
      <c r="Z28" s="10" t="str">
        <f>IF(ISERROR(MATCH(A28,,0)),IF(ISERROR(MATCH(A28,,0)),"",(MATCH(A28,,0))),(MATCH(A28,,0)))</f>
        <v/>
      </c>
      <c r="AA28" s="220"/>
      <c r="AB28" s="222" t="s">
        <v>84</v>
      </c>
      <c r="AC28" s="221"/>
      <c r="BB28" s="10">
        <f>IF(A28="","",1)</f>
        <v>1</v>
      </c>
    </row>
    <row r="29" spans="1:54" ht="12.75">
      <c r="A29" s="222" t="s">
        <v>85</v>
      </c>
      <c r="B29" s="223">
        <v>0</v>
      </c>
      <c r="C29" s="224">
        <v>0.00999999977648258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0.000199999995529652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PELEPI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86</v>
      </c>
      <c r="B30" s="223">
        <v>0</v>
      </c>
      <c r="C30" s="224">
        <v>0.100000001490116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0.00200000002980232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GLYFLU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79</v>
      </c>
      <c r="B31" s="223">
        <v>0</v>
      </c>
      <c r="C31" s="224">
        <v>0.00999999977648258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0.000199999995529652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Newcod</v>
      </c>
      <c r="Z31" s="10" t="str">
        <f>IF(ISERROR(MATCH(A31,,0)),IF(ISERROR(MATCH(A31,,0)),"",(MATCH(A31,,0))),(MATCH(A31,,0)))</f>
        <v/>
      </c>
      <c r="AA31" s="220"/>
      <c r="AB31" s="222" t="s">
        <v>87</v>
      </c>
      <c r="AC31" s="221"/>
      <c r="BB31" s="10">
        <f>IF(A31="","",1)</f>
        <v>1</v>
      </c>
    </row>
    <row r="32" spans="1:54" ht="12.75">
      <c r="A32" s="222" t="s">
        <v>88</v>
      </c>
      <c r="B32" s="223">
        <v>0</v>
      </c>
      <c r="C32" s="224">
        <v>0.00999999977648258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0.000199999995529652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VERBEC</v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>
        <f>IF(A32="","",1)</f>
        <v>1</v>
      </c>
    </row>
    <row r="33" spans="1:54" ht="12.75">
      <c r="A33" s="222" t="s">
        <v>89</v>
      </c>
      <c r="B33" s="223">
        <v>0</v>
      </c>
      <c r="C33" s="224">
        <v>0.00999999977648258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0.000199999995529652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EQUFLU</v>
      </c>
      <c r="Z33" s="10" t="str">
        <f>IF(ISERROR(MATCH(A33,,0)),IF(ISERROR(MATCH(A33,,0)),"",(MATCH(A33,,0))),(MATCH(A33,,0)))</f>
        <v/>
      </c>
      <c r="AA33" s="220"/>
      <c r="AB33" s="221"/>
      <c r="AC33" s="221"/>
      <c r="BB33" s="10">
        <f>IF(A33="","",1)</f>
        <v>1</v>
      </c>
    </row>
    <row r="34" spans="1:54" ht="12.75">
      <c r="A34" s="222" t="s">
        <v>90</v>
      </c>
      <c r="B34" s="223">
        <v>0</v>
      </c>
      <c r="C34" s="224">
        <v>0.00999999977648258</v>
      </c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0.000199999995529652</v>
      </c>
      <c r="G34" s="208" t="str">
        <f>IF(A34="","",IF(ISERROR(VLOOKUP($A34,,13,0)),IF(ISERROR(VLOOKUP($A34,,12,0)),"    -",VLOOKUP($A34,,12,0)),VLOOKUP($A34,,13,0)))</f>
        <v>    -</v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>code non répertorié ou synonyme</v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>JUNACU</v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>
        <f>IF(A34="","",1)</f>
        <v>1</v>
      </c>
    </row>
    <row r="35" spans="1:54" ht="12.75">
      <c r="A35" s="222" t="s">
        <v>91</v>
      </c>
      <c r="B35" s="223">
        <v>0</v>
      </c>
      <c r="C35" s="224">
        <v>0.00999999977648258</v>
      </c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0.000199999995529652</v>
      </c>
      <c r="G35" s="208" t="str">
        <f>IF(A35="","",IF(ISERROR(VLOOKUP($A35,,13,0)),IF(ISERROR(VLOOKUP($A35,,12,0)),"    -",VLOOKUP($A35,,12,0)),VLOOKUP($A35,,13,0)))</f>
        <v>    -</v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>code non répertorié ou synonyme</v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>RANREP</v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>
        <f>IF(A35="","",1)</f>
        <v>1</v>
      </c>
    </row>
    <row r="36" spans="1:54" ht="12.75">
      <c r="A36" s="222" t="s">
        <v>92</v>
      </c>
      <c r="B36" s="223">
        <v>0</v>
      </c>
      <c r="C36" s="224">
        <v>0.00999999977648258</v>
      </c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0.000199999995529652</v>
      </c>
      <c r="G36" s="208" t="str">
        <f>IF(A36="","",IF(ISERROR(VLOOKUP($A36,,13,0)),IF(ISERROR(VLOOKUP($A36,,12,0)),"    -",VLOOKUP($A36,,12,0)),VLOOKUP($A36,,13,0)))</f>
        <v>    -</v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>code non répertorié ou synonyme</v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>MYOPAL</v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>
        <f>IF(A36="","",1)</f>
        <v>1</v>
      </c>
    </row>
    <row r="37" spans="1:54" ht="12.75">
      <c r="A37" s="222" t="s">
        <v>93</v>
      </c>
      <c r="B37" s="223">
        <v>0</v>
      </c>
      <c r="C37" s="224">
        <v>0.100000001490116</v>
      </c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0.00200000002980232</v>
      </c>
      <c r="G37" s="208" t="str">
        <f>IF(A37="","",IF(ISERROR(VLOOKUP($A37,,13,0)),IF(ISERROR(VLOOKUP($A37,,12,0)),"    -",VLOOKUP($A37,,12,0)),VLOOKUP($A37,,13,0)))</f>
        <v>    -</v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>code non répertorié ou synonyme</v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>DERWEB</v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>
        <f>IF(A37="","",1)</f>
        <v>1</v>
      </c>
    </row>
    <row r="38" spans="1:54" ht="12.75">
      <c r="A38" s="222" t="s">
        <v>16</v>
      </c>
      <c r="B38" s="223">
        <v>0</v>
      </c>
      <c r="C38" s="224">
        <v>0.00999999977648258</v>
      </c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0.000199999995529652</v>
      </c>
      <c r="G38" s="208" t="str">
        <f>IF(A38="","",IF(ISERROR(VLOOKUP($A38,,13,0)),IF(ISERROR(VLOOKUP($A38,,12,0)),"    -",VLOOKUP($A38,,12,0)),VLOOKUP($A38,,13,0)))</f>
        <v>    -</v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>code non répertorié ou synonyme</v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>SCAUND</v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>
        <f>IF(A38="","",1)</f>
        <v>1</v>
      </c>
    </row>
    <row r="39" spans="1:54" ht="12.75">
      <c r="A39" s="222" t="s">
        <v>94</v>
      </c>
      <c r="B39" s="223">
        <v>0</v>
      </c>
      <c r="C39" s="224">
        <v>0.00999999977648258</v>
      </c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0.000199999995529652</v>
      </c>
      <c r="G39" s="208" t="str">
        <f>IF(A39="","",IF(ISERROR(VLOOKUP($A39,,13,0)),IF(ISERROR(VLOOKUP($A39,,12,0)),"    -",VLOOKUP($A39,,12,0)),VLOOKUP($A39,,13,0)))</f>
        <v>    -</v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>code non répertorié ou synonyme</v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>GALPAL</v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>
        <f>IF(A39="","",1)</f>
        <v>1</v>
      </c>
    </row>
    <row r="40" spans="1:54" ht="12.75">
      <c r="A40" s="222" t="s">
        <v>95</v>
      </c>
      <c r="B40" s="223">
        <v>0</v>
      </c>
      <c r="C40" s="224">
        <v>0.5</v>
      </c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0.01</v>
      </c>
      <c r="G40" s="208" t="str">
        <f>IF(A40="","",IF(ISERROR(VLOOKUP($A40,,13,0)),IF(ISERROR(VLOOKUP($A40,,12,0)),"    -",VLOOKUP($A40,,12,0)),VLOOKUP($A40,,13,0)))</f>
        <v>    -</v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>code non répertorié ou synonyme</v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>MENLON</v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>
        <f>IF(A40="","",1)</f>
        <v>1</v>
      </c>
    </row>
    <row r="41" spans="1:54" ht="12.75">
      <c r="A41" s="222" t="s">
        <v>79</v>
      </c>
      <c r="B41" s="223">
        <v>0</v>
      </c>
      <c r="C41" s="224">
        <v>0.00999999977648258</v>
      </c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0.000199999995529652</v>
      </c>
      <c r="G41" s="208" t="str">
        <f>IF(A41="","",IF(ISERROR(VLOOKUP($A41,,13,0)),IF(ISERROR(VLOOKUP($A41,,12,0)),"    -",VLOOKUP($A41,,12,0)),VLOOKUP($A41,,13,0)))</f>
        <v>    -</v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>code non répertorié ou synonyme</v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>Newcod</v>
      </c>
      <c r="Z41" s="10" t="str">
        <f>IF(ISERROR(MATCH(A41,,0)),IF(ISERROR(MATCH(A41,,0)),"",(MATCH(A41,,0))),(MATCH(A41,,0)))</f>
        <v/>
      </c>
      <c r="AA41" s="220"/>
      <c r="AB41" s="222" t="s">
        <v>96</v>
      </c>
      <c r="AC41" s="221"/>
      <c r="BB41" s="10">
        <f>IF(A41="","",1)</f>
        <v>1</v>
      </c>
    </row>
    <row r="42" spans="1:54" ht="12.75">
      <c r="A42" s="222" t="s">
        <v>97</v>
      </c>
      <c r="B42" s="223">
        <v>0.00999999977648258</v>
      </c>
      <c r="C42" s="224">
        <v>0.100000001490116</v>
      </c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0.0117999998107553</v>
      </c>
      <c r="G42" s="208" t="str">
        <f>IF(A42="","",IF(ISERROR(VLOOKUP($A42,,13,0)),IF(ISERROR(VLOOKUP($A42,,12,0)),"    -",VLOOKUP($A42,,12,0)),VLOOKUP($A42,,13,0)))</f>
        <v>    -</v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>code non répertorié ou synonyme</v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>MACPOL</v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>
        <f>IF(A42="","",1)</f>
        <v>1</v>
      </c>
    </row>
    <row r="43" spans="1:54" ht="12.75">
      <c r="A43" s="222" t="s">
        <v>98</v>
      </c>
      <c r="B43" s="223">
        <v>0.00999999977648258</v>
      </c>
      <c r="C43" s="224">
        <v>0</v>
      </c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0.00979999978095293</v>
      </c>
      <c r="G43" s="208" t="str">
        <f>IF(A43="","",IF(ISERROR(VLOOKUP($A43,,13,0)),IF(ISERROR(VLOOKUP($A43,,12,0)),"    -",VLOOKUP($A43,,12,0)),VLOOKUP($A43,,13,0)))</f>
        <v>    -</v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>code non répertorié ou synonyme</v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>LEASPX</v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>
        <f>IF(A43="","",1)</f>
        <v>1</v>
      </c>
    </row>
    <row r="44" spans="1:54" ht="12.75">
      <c r="A44" s="222" t="s">
        <v>99</v>
      </c>
      <c r="B44" s="223">
        <v>0.00999999977648258</v>
      </c>
      <c r="C44" s="224">
        <v>0.100000001490116</v>
      </c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0.0117999998107553</v>
      </c>
      <c r="G44" s="208" t="str">
        <f>IF(A44="","",IF(ISERROR(VLOOKUP($A44,,13,0)),IF(ISERROR(VLOOKUP($A44,,12,0)),"    -",VLOOKUP($A44,,12,0)),VLOOKUP($A44,,13,0)))</f>
        <v>    -</v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>code non répertorié ou synonyme</v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>BRARIV</v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>
        <f>IF(A44="","",1)</f>
        <v>1</v>
      </c>
    </row>
    <row r="45" spans="1:54" ht="12.75">
      <c r="A45" s="222" t="s">
        <v>100</v>
      </c>
      <c r="B45" s="223">
        <v>0.00999999977648258</v>
      </c>
      <c r="C45" s="224">
        <v>0.100000001490116</v>
      </c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0.0117999998107553</v>
      </c>
      <c r="G45" s="208" t="str">
        <f>IF(A45="","",IF(ISERROR(VLOOKUP($A45,,13,0)),IF(ISERROR(VLOOKUP($A45,,12,0)),"    -",VLOOKUP($A45,,12,0)),VLOOKUP($A45,,13,0)))</f>
        <v>    -</v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>code non répertorié ou synonyme</v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>CHIPOL</v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>
        <f>IF(A45="","",1)</f>
        <v>1</v>
      </c>
    </row>
    <row r="46" spans="1:54" ht="12.75">
      <c r="A46" s="222" t="s">
        <v>101</v>
      </c>
      <c r="B46" s="223">
        <v>0.00999999977648258</v>
      </c>
      <c r="C46" s="224">
        <v>0</v>
      </c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0.00979999978095293</v>
      </c>
      <c r="G46" s="208" t="str">
        <f>IF(A46="","",IF(ISERROR(VLOOKUP($A46,,13,0)),IF(ISERROR(VLOOKUP($A46,,12,0)),"    -",VLOOKUP($A46,,12,0)),VLOOKUP($A46,,13,0)))</f>
        <v>    -</v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>code non répertorié ou synonyme</v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>BRYSPX</v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>
        <f>IF(A46="","",1)</f>
        <v>1</v>
      </c>
    </row>
    <row r="47" spans="1:54" ht="12.75">
      <c r="A47" s="222" t="s">
        <v>79</v>
      </c>
      <c r="B47" s="223">
        <v>0.00999999977648258</v>
      </c>
      <c r="C47" s="224">
        <v>0</v>
      </c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0.00979999978095293</v>
      </c>
      <c r="G47" s="208" t="str">
        <f>IF(A47="","",IF(ISERROR(VLOOKUP($A47,,13,0)),IF(ISERROR(VLOOKUP($A47,,12,0)),"    -",VLOOKUP($A47,,12,0)),VLOOKUP($A47,,13,0)))</f>
        <v>    -</v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>code non répertorié ou synonyme</v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>Newcod</v>
      </c>
      <c r="Z47" s="10" t="str">
        <f>IF(ISERROR(MATCH(A47,,0)),IF(ISERROR(MATCH(A47,,0)),"",(MATCH(A47,,0))),(MATCH(A47,,0)))</f>
        <v/>
      </c>
      <c r="AA47" s="220"/>
      <c r="AB47" s="222" t="s">
        <v>102</v>
      </c>
      <c r="AC47" s="221"/>
      <c r="BB47" s="10">
        <f>IF(A47="","",1)</f>
        <v>1</v>
      </c>
    </row>
    <row r="48" spans="1:54" ht="12.75">
      <c r="A48" s="222" t="s">
        <v>103</v>
      </c>
      <c r="B48" s="223">
        <v>0.00999999977648258</v>
      </c>
      <c r="C48" s="224">
        <v>0.699999988079071</v>
      </c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0.0237999995425344</v>
      </c>
      <c r="G48" s="208" t="str">
        <f>IF(A48="","",IF(ISERROR(VLOOKUP($A48,,13,0)),IF(ISERROR(VLOOKUP($A48,,12,0)),"    -",VLOOKUP($A48,,12,0)),VLOOKUP($A48,,13,0)))</f>
        <v>    -</v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>code non répertorié ou synonyme</v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>FONANT</v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>
        <f>IF(A48="","",1)</f>
        <v>1</v>
      </c>
    </row>
    <row r="49" spans="1:54" ht="12.75">
      <c r="A49" s="222" t="s">
        <v>104</v>
      </c>
      <c r="B49" s="223">
        <v>0.00999999977648258</v>
      </c>
      <c r="C49" s="224">
        <v>0.00999999977648258</v>
      </c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0.00999999977648258</v>
      </c>
      <c r="G49" s="208" t="str">
        <f>IF(A49="","",IF(ISERROR(VLOOKUP($A49,,13,0)),IF(ISERROR(VLOOKUP($A49,,12,0)),"    -",VLOOKUP($A49,,12,0)),VLOOKUP($A49,,13,0)))</f>
        <v>    -</v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>code non répertorié ou synonyme</v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>SCSRIV</v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>
        <f>IF(A49="","",1)</f>
        <v>1</v>
      </c>
    </row>
    <row r="50" spans="1:54" ht="12.75">
      <c r="A50" s="222" t="s">
        <v>105</v>
      </c>
      <c r="B50" s="223">
        <v>0.00999999977648258</v>
      </c>
      <c r="C50" s="224">
        <v>0</v>
      </c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0.00979999978095293</v>
      </c>
      <c r="G50" s="208" t="str">
        <f>IF(A50="","",IF(ISERROR(VLOOKUP($A50,,13,0)),IF(ISERROR(VLOOKUP($A50,,12,0)),"    -",VLOOKUP($A50,,12,0)),VLOOKUP($A50,,13,0)))</f>
        <v>    -</v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>code non répertorié ou synonyme</v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>NOSSPX</v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>
        <f>IF(A50="","",1)</f>
        <v>1</v>
      </c>
    </row>
    <row r="51" spans="1:54" ht="12.75">
      <c r="A51" s="222" t="s">
        <v>106</v>
      </c>
      <c r="B51" s="223">
        <v>0.00999999977648258</v>
      </c>
      <c r="C51" s="224">
        <v>0.00999999977648258</v>
      </c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0.00999999977648258</v>
      </c>
      <c r="G51" s="208" t="str">
        <f>IF(A51="","",IF(ISERROR(VLOOKUP($A51,,13,0)),IF(ISERROR(VLOOKUP($A51,,12,0)),"    -",VLOOKUP($A51,,12,0)),VLOOKUP($A51,,13,0)))</f>
        <v>    -</v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>code non répertorié ou synonyme</v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>AMBFLU</v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>
        <f>IF(A51="","",1)</f>
        <v>1</v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107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la Loire</v>
      </c>
      <c r="B84" s="258" t="str">
        <f>C3</f>
        <v>LOIRE à SAINTE-EULALIE</v>
      </c>
      <c r="C84" s="259">
        <f>A4</f>
        <v>41843</v>
      </c>
      <c r="D84" s="260" t="str">
        <f>IF(ISERROR(SUM($T$23:$T$82)/SUM($U$23:$U$82)),"",SUM($T$23:$T$82)/SUM($U$23:$U$82))</f>
        <v/>
      </c>
      <c r="E84" s="261">
        <f>N13</f>
        <v>29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0.152999998368323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108</v>
      </c>
      <c r="R86" s="10"/>
      <c r="S86" s="217"/>
      <c r="T86" s="10"/>
      <c r="U86" s="10"/>
      <c r="V86" s="10"/>
    </row>
    <row r="87" spans="16:22" ht="12.75" hidden="1">
      <c r="P87" s="10"/>
      <c r="Q87" s="10" t="s">
        <v>109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110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111</v>
      </c>
      <c r="R89" s="10"/>
      <c r="S89" s="217">
        <f>VLOOKUP((S87),($S$23:$U$82),3,0)</f>
        <v>0</v>
      </c>
      <c r="T89" s="10"/>
    </row>
    <row r="90" spans="17:20" ht="12.75">
      <c r="Q90" s="10" t="s">
        <v>112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113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114</v>
      </c>
      <c r="R92" s="10"/>
      <c r="S92" s="10">
        <f>MATCH(S87,$S$23:$S$82,0)</f>
        <v>1</v>
      </c>
      <c r="T92" s="10"/>
    </row>
    <row r="93" spans="17:20" ht="12.75">
      <c r="Q93" s="216" t="s">
        <v>115</v>
      </c>
      <c r="R93" s="10"/>
      <c r="S93" s="216" t="str">
        <f>INDEX($A$23:$A$82,$S$92)</f>
        <v>JUNFIL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conditionalFormatting sqref="AB24">
    <cfRule type="expression" priority="28" dxfId="0">
      <formula>ISTEXT($E24)</formula>
    </cfRule>
  </conditionalFormatting>
  <conditionalFormatting sqref="AB28">
    <cfRule type="expression" priority="29" dxfId="0">
      <formula>ISTEXT($E28)</formula>
    </cfRule>
  </conditionalFormatting>
  <conditionalFormatting sqref="AB31">
    <cfRule type="expression" priority="30" dxfId="0">
      <formula>ISTEXT($E31)</formula>
    </cfRule>
  </conditionalFormatting>
  <conditionalFormatting sqref="AB41">
    <cfRule type="expression" priority="31" dxfId="0">
      <formula>ISTEXT($E41)</formula>
    </cfRule>
  </conditionalFormatting>
  <conditionalFormatting sqref="AB47">
    <cfRule type="expression" priority="32" dxfId="0">
      <formula>ISTEXT($E47)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2024-04-16T07:19:29Z</dcterms:modified>
  <cp:category/>
  <cp:version/>
  <cp:contentType/>
  <cp:contentStatus/>
  <cp:revision>1</cp:revision>
</cp:coreProperties>
</file>