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060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'04000600'!$A$1:$O$82</definedName>
    <definedName function="false" hidden="false" localSheetId="0" name="Excel_BuiltIn__FilterDatabase" vbProcedure="false">'04000600'!$A$23:$J$84</definedName>
    <definedName function="false" hidden="false" localSheetId="0" name="NOM" vbProcedure="false">'04000600'!$H$1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<sst xmlns="http://schemas.openxmlformats.org/spreadsheetml/2006/main" count="121" uniqueCount="115">
  <si>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</si>
  <si>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</si>
  <si>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</si>
  <si>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Aurélie JOSSET, Laetitia BLANCHARD</t>
  </si>
  <si>
    <t xml:space="preserve">conforme AFNOR T90-395 oct. 2003</t>
  </si>
  <si>
    <t xml:space="preserve">la Loire</t>
  </si>
  <si>
    <t xml:space="preserve">LOIRE à GOUDET</t>
  </si>
  <si>
    <t xml:space="preserve">04000600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</si>
  <si>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</si>
  <si>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</si>
  <si>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</si>
  <si>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</si>
  <si>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</si>
  <si>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</si>
  <si>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</si>
  <si>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</si>
  <si>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GLYFLU</t>
  </si>
  <si>
    <t xml:space="preserve">Faciès dominant</t>
  </si>
  <si>
    <t xml:space="preserve">ch. lentique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</si>
  <si>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</si>
  <si>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</si>
  <si>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</si>
  <si>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</si>
  <si>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</si>
  <si>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</si>
  <si>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</si>
  <si>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</si>
  <si>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</si>
  <si>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</si>
  <si>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</si>
  <si>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</si>
  <si>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</si>
  <si>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</si>
  <si>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</si>
  <si>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</si>
  <si>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</si>
  <si>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</si>
  <si>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</si>
  <si>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</si>
  <si>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</si>
  <si>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</si>
  <si>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</si>
  <si>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</si>
  <si>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</si>
  <si>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</si>
  <si>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</si>
  <si>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</si>
  <si>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</si>
  <si>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</si>
  <si>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</si>
  <si>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</si>
  <si>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</si>
  <si>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</si>
  <si>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</si>
  <si>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</si>
  <si>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</si>
  <si>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</si>
  <si>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</si>
  <si>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</si>
  <si>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(50,511425222382 %)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</si>
  <si>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</si>
  <si>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</si>
  <si>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</si>
  <si>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</si>
  <si>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</si>
  <si>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</si>
  <si>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</si>
  <si>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</si>
  <si>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</si>
  <si>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</si>
  <si>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</si>
  <si>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</si>
  <si>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</si>
  <si>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</si>
  <si>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</si>
  <si>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</si>
  <si>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</si>
  <si>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</si>
  <si>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</si>
  <si>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OEDSPX</t>
  </si>
  <si>
    <t xml:space="preserve">POLHYD</t>
  </si>
  <si>
    <t xml:space="preserve">NOSSPX</t>
  </si>
  <si>
    <t xml:space="preserve">AGRSTO</t>
  </si>
  <si>
    <t xml:space="preserve">Cf.</t>
  </si>
  <si>
    <t xml:space="preserve">MELSPX</t>
  </si>
  <si>
    <t xml:space="preserve">PHAARU</t>
  </si>
  <si>
    <t xml:space="preserve">SCISYL</t>
  </si>
  <si>
    <t xml:space="preserve">SPAERE</t>
  </si>
  <si>
    <t xml:space="preserve">SPISPX</t>
  </si>
  <si>
    <t xml:space="preserve">VERBEC</t>
  </si>
  <si>
    <t xml:space="preserve">LYCEUR</t>
  </si>
  <si>
    <t xml:space="preserve">OSCSPX</t>
  </si>
  <si>
    <t xml:space="preserve">ELEPAL</t>
  </si>
  <si>
    <t xml:space="preserve">RANPEE</t>
  </si>
  <si>
    <t xml:space="preserve">PHOSPX</t>
  </si>
  <si>
    <t xml:space="preserve">CARSPX</t>
  </si>
  <si>
    <t xml:space="preserve">GLEHED</t>
  </si>
  <si>
    <t xml:space="preserve">JUNACU</t>
  </si>
  <si>
    <t xml:space="preserve">JUNEFF</t>
  </si>
  <si>
    <t xml:space="preserve">LOTPED</t>
  </si>
  <si>
    <t xml:space="preserve">LYSVUL</t>
  </si>
  <si>
    <t xml:space="preserve">MENARV</t>
  </si>
  <si>
    <t xml:space="preserve">MENLON</t>
  </si>
  <si>
    <t xml:space="preserve">newcod</t>
  </si>
  <si>
    <t xml:space="preserve">Gomphonema sp.</t>
  </si>
  <si>
    <t xml:space="preserve">SOADUL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</si>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</sst>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7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0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0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6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41919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10.8490566037736</v>
      </c>
      <c r="M5" s="52"/>
      <c r="N5" s="53" t="s">
        <v>16</v>
      </c>
      <c r="O5" s="54" t="n">
        <v>10.2888888888889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19</v>
      </c>
      <c r="D6" s="45"/>
      <c r="E6" s="45"/>
      <c r="F6" s="46"/>
      <c r="G6" s="47"/>
      <c r="H6" s="45"/>
      <c r="I6" s="57" t="s">
        <v>20</v>
      </c>
      <c r="J6" s="58"/>
      <c r="K6" s="59"/>
      <c r="L6" s="60" t="s">
        <v>21</v>
      </c>
      <c r="M6" s="61"/>
      <c r="N6" s="62" t="s">
        <v>22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23</v>
      </c>
      <c r="B7" s="65" t="n">
        <v>28</v>
      </c>
      <c r="C7" s="66" t="n">
        <v>72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24</v>
      </c>
      <c r="O7" s="76" t="s">
        <v>25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26</v>
      </c>
      <c r="B8" s="78"/>
      <c r="C8" s="78"/>
      <c r="D8" s="67"/>
      <c r="E8" s="67"/>
      <c r="F8" s="79" t="s">
        <v>27</v>
      </c>
      <c r="G8" s="80"/>
      <c r="H8" s="81"/>
      <c r="I8" s="70"/>
      <c r="J8" s="71"/>
      <c r="K8" s="72"/>
      <c r="L8" s="73"/>
      <c r="M8" s="82" t="s">
        <v>28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29</v>
      </c>
      <c r="B9" s="85" t="n">
        <v>1.5</v>
      </c>
      <c r="C9" s="86" t="n">
        <v>2.5</v>
      </c>
      <c r="D9" s="87"/>
      <c r="E9" s="87"/>
      <c r="F9" s="88" t="n">
        <f aca="false">($B9*$B$7+$C9*$C$7)/100</f>
        <v>2.22</v>
      </c>
      <c r="G9" s="89"/>
      <c r="H9" s="90"/>
      <c r="I9" s="91"/>
      <c r="J9" s="92"/>
      <c r="K9" s="72"/>
      <c r="L9" s="93"/>
      <c r="M9" s="82" t="s">
        <v>30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31</v>
      </c>
      <c r="B10" s="97"/>
      <c r="C10" s="98"/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38</v>
      </c>
      <c r="J12" s="120"/>
      <c r="K12" s="114" t="n">
        <f aca="false">COUNTIF($G$23:$G$82,"=ALG")</f>
        <v>0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0</v>
      </c>
      <c r="L13" s="115"/>
      <c r="M13" s="126" t="s">
        <v>41</v>
      </c>
      <c r="N13" s="127" t="n">
        <f aca="false">COUNTIF(F23:F82,"&gt;0")</f>
        <v>26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47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/>
      <c r="C18" s="145"/>
      <c r="D18" s="110"/>
      <c r="E18" s="146" t="s">
        <v>53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1.63999903015792</v>
      </c>
      <c r="C20" s="165" t="n">
        <f aca="false">SUM(C23:C82)</f>
        <v>69.5169798526913</v>
      </c>
      <c r="D20" s="166"/>
      <c r="E20" s="167" t="s">
        <v>53</v>
      </c>
      <c r="F20" s="168" t="n">
        <f aca="false">($B20*$B$7+$C20*$C$7)/100</f>
        <v>50.511425222382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55</v>
      </c>
      <c r="R20" s="9"/>
      <c r="S20" s="9"/>
      <c r="T20" s="9"/>
      <c r="U20" s="9"/>
      <c r="V20" s="9"/>
      <c r="W20" s="149" t="s">
        <v>56</v>
      </c>
    </row>
    <row r="21" customFormat="false" ht="12.75" hidden="false" customHeight="false" outlineLevel="0" collapsed="false">
      <c r="A21" s="177" t="s">
        <v>57</v>
      </c>
      <c r="B21" s="178" t="n">
        <f aca="false">B20*B7/100</f>
        <v>0.459199728444219</v>
      </c>
      <c r="C21" s="178" t="n">
        <f aca="false">C20*C7/100</f>
        <v>50.0522254939377</v>
      </c>
      <c r="D21" s="110" t="str">
        <f aca="false">IF(F21=0,"",IF((ABS(F21-F19))&gt;(0.2*F21),CONCATENATE(" rec. par taxa (",F21," %) supérieur à 20 % !"),""))</f>
        <v> rec. par taxa (50,511425222382 %)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50.511425222382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9"/>
      <c r="S21" s="9"/>
      <c r="T21" s="9"/>
      <c r="U21" s="9"/>
      <c r="V21" s="9"/>
      <c r="W21" s="149" t="s">
        <v>59</v>
      </c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79</v>
      </c>
      <c r="B23" s="203" t="n">
        <v>0.744444012641907</v>
      </c>
      <c r="C23" s="204" t="n">
        <v>4.81135988235474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IF(D23="",0,VLOOKUP(D23,D$15:D22,1,0))</f>
        <v>0</v>
      </c>
      <c r="F23" s="207" t="n">
        <f aca="false">($B23*$B$7+$C23*$C$7)/100</f>
        <v>3.67262343883514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OEDSPX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80</v>
      </c>
      <c r="B24" s="221" t="n">
        <v>0</v>
      </c>
      <c r="C24" s="222" t="n">
        <v>0.00999999977648258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0.00719999983906746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POLHYD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81</v>
      </c>
      <c r="B25" s="221" t="n">
        <v>0</v>
      </c>
      <c r="C25" s="222" t="n">
        <v>0.00999999977648258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0.00719999983906746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27"/>
      <c r="Y25" s="215" t="str">
        <f aca="false">IF(A25="new.cod","NEWCOD",IF(AND((Z25=""),ISTEXT(A25)),A25,IF(Z25="","",INDEX(,Z25))))</f>
        <v>NOSSPX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82</v>
      </c>
      <c r="B26" s="221" t="n">
        <v>0</v>
      </c>
      <c r="C26" s="222" t="n">
        <v>2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1.44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AGRSTO</v>
      </c>
      <c r="Z26" s="9" t="str">
        <f aca="false">IF(ISERROR(MATCH(A26,,0)),IF(ISERROR(MATCH(A26,,0)),"",(MATCH(A26,,0))),(MATCH(A26,,0)))</f>
        <v/>
      </c>
      <c r="AA26" s="218" t="s">
        <v>83</v>
      </c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84</v>
      </c>
      <c r="B27" s="221" t="n">
        <v>0.461111009120941</v>
      </c>
      <c r="C27" s="222" t="n">
        <v>1.33941996097565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IF(D27="",0,VLOOKUP(D27,D$19:D22,1,0))</f>
        <v>0</v>
      </c>
      <c r="F27" s="224" t="n">
        <f aca="false">($B27*$B$7+$C27*$C$7)/100</f>
        <v>1.09349345445633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17"/>
      <c r="Y27" s="215" t="str">
        <f aca="false">IF(A27="new.cod","NEWCOD",IF(AND((Z27=""),ISTEXT(A27)),A27,IF(Z27="","",INDEX(,Z27))))</f>
        <v>MELSPX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85</v>
      </c>
      <c r="B28" s="221" t="n">
        <v>0</v>
      </c>
      <c r="C28" s="222" t="n">
        <v>1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0.72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PHAARU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86</v>
      </c>
      <c r="B29" s="221" t="n">
        <v>0</v>
      </c>
      <c r="C29" s="222" t="n">
        <v>0.00999999977648258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0.00719999983906746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Y29" s="215" t="str">
        <f aca="false">IF(A29="new.cod","NEWCOD",IF(AND((Z29=""),ISTEXT(A29)),A29,IF(Z29="","",INDEX(,Z29))))</f>
        <v>SCISYL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87</v>
      </c>
      <c r="B30" s="221" t="n">
        <v>0</v>
      </c>
      <c r="C30" s="222" t="n">
        <v>0.00999999977648258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0.00719999983906746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SPAERE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88</v>
      </c>
      <c r="B31" s="221" t="n">
        <v>0.204444006085396</v>
      </c>
      <c r="C31" s="222" t="n">
        <v>1.91819000244141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IF(D31="",0,VLOOKUP(D31,D$22:D24,1,0))</f>
        <v>0</v>
      </c>
      <c r="F31" s="224" t="n">
        <f aca="false">($B31*$B$7+$C31*$C$7)/100</f>
        <v>1.43834112346172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SPISPX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89</v>
      </c>
      <c r="B32" s="221" t="n">
        <v>0</v>
      </c>
      <c r="C32" s="222" t="n">
        <v>0.00999999977648258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0.00719999983906746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VERBEC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90</v>
      </c>
      <c r="B33" s="221" t="n">
        <v>0</v>
      </c>
      <c r="C33" s="222" t="n">
        <v>2</v>
      </c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1.44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LYCEUR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 t="s">
        <v>91</v>
      </c>
      <c r="B34" s="221" t="n">
        <v>0.00999999977648258</v>
      </c>
      <c r="C34" s="222" t="n">
        <v>2.58164000511169</v>
      </c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1.86158080361784</v>
      </c>
      <c r="G34" s="208" t="str">
        <f aca="false">IF(A34="","",IF(ISERROR(VLOOKUP($A34,,13,0)),IF(ISERROR(VLOOKUP($A34,,12,0)),"    -",VLOOKUP($A34,,12,0)),VLOOKUP($A34,,13,0)))</f>
        <v>    -</v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>OSCSPX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n">
        <f aca="false">IF(A34="","",1)</f>
        <v>1</v>
      </c>
    </row>
    <row r="35" customFormat="false" ht="12.75" hidden="false" customHeight="false" outlineLevel="0" collapsed="false">
      <c r="A35" s="220" t="s">
        <v>92</v>
      </c>
      <c r="B35" s="221" t="n">
        <v>0</v>
      </c>
      <c r="C35" s="222" t="n">
        <v>2</v>
      </c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1.44</v>
      </c>
      <c r="G35" s="208" t="str">
        <f aca="false">IF(A35="","",IF(ISERROR(VLOOKUP($A35,,13,0)),IF(ISERROR(VLOOKUP($A35,,12,0)),"    -",VLOOKUP($A35,,12,0)),VLOOKUP($A35,,13,0)))</f>
        <v>    -</v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>ELEPAL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n">
        <f aca="false">IF(A35="","",1)</f>
        <v>1</v>
      </c>
    </row>
    <row r="36" customFormat="false" ht="12.75" hidden="false" customHeight="false" outlineLevel="0" collapsed="false">
      <c r="A36" s="220" t="s">
        <v>93</v>
      </c>
      <c r="B36" s="221" t="n">
        <v>0.200000002980232</v>
      </c>
      <c r="C36" s="222" t="n">
        <v>1.99472999572754</v>
      </c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1.49220559775829</v>
      </c>
      <c r="G36" s="208" t="str">
        <f aca="false">IF(A36="","",IF(ISERROR(VLOOKUP($A36,,13,0)),IF(ISERROR(VLOOKUP($A36,,12,0)),"    -",VLOOKUP($A36,,12,0)),VLOOKUP($A36,,13,0)))</f>
        <v>    -</v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>RANPEE</v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n">
        <f aca="false">IF(A36="","",1)</f>
        <v>1</v>
      </c>
    </row>
    <row r="37" customFormat="false" ht="12.75" hidden="false" customHeight="false" outlineLevel="0" collapsed="false">
      <c r="A37" s="220" t="s">
        <v>94</v>
      </c>
      <c r="B37" s="221" t="n">
        <v>0.00999999977648258</v>
      </c>
      <c r="C37" s="222" t="n">
        <v>2.58164000511169</v>
      </c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1.86158080361784</v>
      </c>
      <c r="G37" s="208" t="str">
        <f aca="false">IF(A37="","",IF(ISERROR(VLOOKUP($A37,,13,0)),IF(ISERROR(VLOOKUP($A37,,12,0)),"    -",VLOOKUP($A37,,12,0)),VLOOKUP($A37,,13,0)))</f>
        <v>    -</v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>PHOSPX</v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n">
        <f aca="false">IF(A37="","",1)</f>
        <v>1</v>
      </c>
    </row>
    <row r="38" customFormat="false" ht="12.75" hidden="false" customHeight="false" outlineLevel="0" collapsed="false">
      <c r="A38" s="220" t="s">
        <v>16</v>
      </c>
      <c r="B38" s="221" t="n">
        <v>0</v>
      </c>
      <c r="C38" s="222" t="n">
        <v>45</v>
      </c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32.4</v>
      </c>
      <c r="G38" s="208" t="str">
        <f aca="false">IF(A38="","",IF(ISERROR(VLOOKUP($A38,,13,0)),IF(ISERROR(VLOOKUP($A38,,12,0)),"    -",VLOOKUP($A38,,12,0)),VLOOKUP($A38,,13,0)))</f>
        <v>    -</v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>code non répertorié ou synonyme</v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>GLYFLU</v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n">
        <f aca="false">IF(A38="","",1)</f>
        <v>1</v>
      </c>
    </row>
    <row r="39" customFormat="false" ht="12.75" hidden="false" customHeight="false" outlineLevel="0" collapsed="false">
      <c r="A39" s="220" t="s">
        <v>95</v>
      </c>
      <c r="B39" s="221" t="n">
        <v>0</v>
      </c>
      <c r="C39" s="222" t="n">
        <v>0.100000001490116</v>
      </c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0.0720000010728836</v>
      </c>
      <c r="G39" s="208" t="str">
        <f aca="false">IF(A39="","",IF(ISERROR(VLOOKUP($A39,,13,0)),IF(ISERROR(VLOOKUP($A39,,12,0)),"    -",VLOOKUP($A39,,12,0)),VLOOKUP($A39,,13,0)))</f>
        <v>    -</v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>code non répertorié ou synonyme</v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>CARSPX</v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n">
        <f aca="false">IF(A39="","",1)</f>
        <v>1</v>
      </c>
    </row>
    <row r="40" customFormat="false" ht="12.75" hidden="false" customHeight="false" outlineLevel="0" collapsed="false">
      <c r="A40" s="220" t="s">
        <v>96</v>
      </c>
      <c r="B40" s="221" t="n">
        <v>0</v>
      </c>
      <c r="C40" s="222" t="n">
        <v>0.00999999977648258</v>
      </c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0.00719999983906746</v>
      </c>
      <c r="G40" s="208" t="str">
        <f aca="false">IF(A40="","",IF(ISERROR(VLOOKUP($A40,,13,0)),IF(ISERROR(VLOOKUP($A40,,12,0)),"    -",VLOOKUP($A40,,12,0)),VLOOKUP($A40,,13,0)))</f>
        <v>    -</v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>code non répertorié ou synonyme</v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>GLEHED</v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n">
        <f aca="false">IF(A40="","",1)</f>
        <v>1</v>
      </c>
    </row>
    <row r="41" customFormat="false" ht="12.75" hidden="false" customHeight="false" outlineLevel="0" collapsed="false">
      <c r="A41" s="220" t="s">
        <v>97</v>
      </c>
      <c r="B41" s="221" t="n">
        <v>0</v>
      </c>
      <c r="C41" s="222" t="n">
        <v>0.100000001490116</v>
      </c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0.0720000010728836</v>
      </c>
      <c r="G41" s="208" t="str">
        <f aca="false">IF(A41="","",IF(ISERROR(VLOOKUP($A41,,13,0)),IF(ISERROR(VLOOKUP($A41,,12,0)),"    -",VLOOKUP($A41,,12,0)),VLOOKUP($A41,,13,0)))</f>
        <v>    -</v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>code non répertorié ou synonyme</v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>JUNACU</v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n">
        <f aca="false">IF(A41="","",1)</f>
        <v>1</v>
      </c>
    </row>
    <row r="42" customFormat="false" ht="12.75" hidden="false" customHeight="false" outlineLevel="0" collapsed="false">
      <c r="A42" s="220" t="s">
        <v>98</v>
      </c>
      <c r="B42" s="221" t="n">
        <v>0</v>
      </c>
      <c r="C42" s="222" t="n">
        <v>1</v>
      </c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0.72</v>
      </c>
      <c r="G42" s="208" t="str">
        <f aca="false">IF(A42="","",IF(ISERROR(VLOOKUP($A42,,13,0)),IF(ISERROR(VLOOKUP($A42,,12,0)),"    -",VLOOKUP($A42,,12,0)),VLOOKUP($A42,,13,0)))</f>
        <v>    -</v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>code non répertorié ou synonyme</v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>JUNEFF</v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n">
        <f aca="false">IF(A42="","",1)</f>
        <v>1</v>
      </c>
    </row>
    <row r="43" customFormat="false" ht="12.75" hidden="false" customHeight="false" outlineLevel="0" collapsed="false">
      <c r="A43" s="220" t="s">
        <v>99</v>
      </c>
      <c r="B43" s="221" t="n">
        <v>0</v>
      </c>
      <c r="C43" s="222" t="n">
        <v>0.00999999977648258</v>
      </c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0.00719999983906746</v>
      </c>
      <c r="G43" s="208" t="str">
        <f aca="false">IF(A43="","",IF(ISERROR(VLOOKUP($A43,,13,0)),IF(ISERROR(VLOOKUP($A43,,12,0)),"    -",VLOOKUP($A43,,12,0)),VLOOKUP($A43,,13,0)))</f>
        <v>    -</v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>code non répertorié ou synonyme</v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>LOTPED</v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n">
        <f aca="false">IF(A43="","",1)</f>
        <v>1</v>
      </c>
    </row>
    <row r="44" customFormat="false" ht="12.75" hidden="false" customHeight="false" outlineLevel="0" collapsed="false">
      <c r="A44" s="220" t="s">
        <v>100</v>
      </c>
      <c r="B44" s="221" t="n">
        <v>0</v>
      </c>
      <c r="C44" s="222" t="n">
        <v>0.00999999977648258</v>
      </c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0.00719999983906746</v>
      </c>
      <c r="G44" s="208" t="str">
        <f aca="false">IF(A44="","",IF(ISERROR(VLOOKUP($A44,,13,0)),IF(ISERROR(VLOOKUP($A44,,12,0)),"    -",VLOOKUP($A44,,12,0)),VLOOKUP($A44,,13,0)))</f>
        <v>    -</v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>code non répertorié ou synonyme</v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>LYSVUL</v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n">
        <f aca="false">IF(A44="","",1)</f>
        <v>1</v>
      </c>
    </row>
    <row r="45" customFormat="false" ht="12.75" hidden="false" customHeight="false" outlineLevel="0" collapsed="false">
      <c r="A45" s="220" t="s">
        <v>101</v>
      </c>
      <c r="B45" s="221" t="n">
        <v>0</v>
      </c>
      <c r="C45" s="222" t="n">
        <v>0.5</v>
      </c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0.36</v>
      </c>
      <c r="G45" s="208" t="str">
        <f aca="false">IF(A45="","",IF(ISERROR(VLOOKUP($A45,,13,0)),IF(ISERROR(VLOOKUP($A45,,12,0)),"    -",VLOOKUP($A45,,12,0)),VLOOKUP($A45,,13,0)))</f>
        <v>    -</v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>code non répertorié ou synonyme</v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>MENARV</v>
      </c>
      <c r="Z45" s="9" t="str">
        <f aca="false">IF(ISERROR(MATCH(A45,,0)),IF(ISERROR(MATCH(A45,,0)),"",(MATCH(A45,,0))),(MATCH(A45,,0)))</f>
        <v/>
      </c>
      <c r="AA45" s="218" t="s">
        <v>83</v>
      </c>
      <c r="AB45" s="219"/>
      <c r="AC45" s="219"/>
      <c r="BB45" s="9" t="n">
        <f aca="false">IF(A45="","",1)</f>
        <v>1</v>
      </c>
    </row>
    <row r="46" customFormat="false" ht="12.75" hidden="false" customHeight="false" outlineLevel="0" collapsed="false">
      <c r="A46" s="220" t="s">
        <v>102</v>
      </c>
      <c r="B46" s="221" t="n">
        <v>0</v>
      </c>
      <c r="C46" s="222" t="n">
        <v>0.5</v>
      </c>
      <c r="D46" s="205" t="str">
        <f aca="false">IF(ISERROR(VLOOKUP($A46,,2,0)),IF(ISERROR(VLOOKUP($A46,,1,0)),"",VLOOKUP($A46,,1,0)),VLOOKUP($A46,,2,0))</f>
        <v/>
      </c>
      <c r="E46" s="223" t="n">
        <f aca="false">IF(D46="",0,VLOOKUP(D46,D$22:D45,1,0))</f>
        <v>0</v>
      </c>
      <c r="F46" s="228" t="n">
        <f aca="false">($B46*$B$7+$C46*$C$7)/100</f>
        <v>0.36</v>
      </c>
      <c r="G46" s="208" t="str">
        <f aca="false">IF(A46="","",IF(ISERROR(VLOOKUP($A46,,13,0)),IF(ISERROR(VLOOKUP($A46,,12,0)),"    -",VLOOKUP($A46,,12,0)),VLOOKUP($A46,,13,0)))</f>
        <v>    -</v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>code non répertorié ou synonyme</v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>MENLON</v>
      </c>
      <c r="Z46" s="9" t="str">
        <f aca="false">IF(ISERROR(MATCH(A46,,0)),IF(ISERROR(MATCH(A46,,0)),"",(MATCH(A46,,0))),(MATCH(A46,,0)))</f>
        <v/>
      </c>
      <c r="AA46" s="218" t="s">
        <v>83</v>
      </c>
      <c r="AB46" s="219"/>
      <c r="AC46" s="219"/>
      <c r="BB46" s="9" t="n">
        <f aca="false">IF(A46="","",1)</f>
        <v>1</v>
      </c>
    </row>
    <row r="47" customFormat="false" ht="12.75" hidden="false" customHeight="false" outlineLevel="0" collapsed="false">
      <c r="A47" s="220" t="s">
        <v>103</v>
      </c>
      <c r="B47" s="221" t="n">
        <v>0.00999999977648258</v>
      </c>
      <c r="C47" s="222" t="n">
        <v>0</v>
      </c>
      <c r="D47" s="205" t="str">
        <f aca="false">IF(ISERROR(VLOOKUP($A47,,2,0)),IF(ISERROR(VLOOKUP($A47,,1,0)),"",VLOOKUP($A47,,1,0)),VLOOKUP($A47,,2,0))</f>
        <v/>
      </c>
      <c r="E47" s="223" t="n">
        <f aca="false">IF(D47="",0,VLOOKUP(D47,D$22:D46,1,0))</f>
        <v>0</v>
      </c>
      <c r="F47" s="228" t="n">
        <f aca="false">($B47*$B$7+$C47*$C$7)/100</f>
        <v>0.00279999993741512</v>
      </c>
      <c r="G47" s="208" t="str">
        <f aca="false">IF(A47="","",IF(ISERROR(VLOOKUP($A47,,13,0)),IF(ISERROR(VLOOKUP($A47,,12,0)),"    -",VLOOKUP($A47,,12,0)),VLOOKUP($A47,,13,0)))</f>
        <v>    -</v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>code non répertorié ou synonyme</v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>No</v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>newcod</v>
      </c>
      <c r="Z47" s="9" t="str">
        <f aca="false">IF(ISERROR(MATCH(A47,,0)),IF(ISERROR(MATCH(A47,,0)),"",(MATCH(A47,,0))),(MATCH(A47,,0)))</f>
        <v/>
      </c>
      <c r="AA47" s="218"/>
      <c r="AB47" s="219" t="s">
        <v>104</v>
      </c>
      <c r="AC47" s="219"/>
      <c r="BB47" s="9" t="n">
        <f aca="false">IF(A47="","",1)</f>
        <v>1</v>
      </c>
    </row>
    <row r="48" customFormat="false" ht="12.75" hidden="false" customHeight="false" outlineLevel="0" collapsed="false">
      <c r="A48" s="220" t="s">
        <v>105</v>
      </c>
      <c r="B48" s="221" t="n">
        <v>0</v>
      </c>
      <c r="C48" s="222" t="n">
        <v>0.00999999977648258</v>
      </c>
      <c r="D48" s="205" t="str">
        <f aca="false">IF(ISERROR(VLOOKUP($A48,,2,0)),IF(ISERROR(VLOOKUP($A48,,1,0)),"",VLOOKUP($A48,,1,0)),VLOOKUP($A48,,2,0))</f>
        <v/>
      </c>
      <c r="E48" s="223" t="n">
        <f aca="false">IF(D48="",0,VLOOKUP(D48,D$22:D47,1,0))</f>
        <v>0</v>
      </c>
      <c r="F48" s="228" t="n">
        <f aca="false">($B48*$B$7+$C48*$C$7)/100</f>
        <v>0.00719999983906746</v>
      </c>
      <c r="G48" s="208" t="str">
        <f aca="false">IF(A48="","",IF(ISERROR(VLOOKUP($A48,,13,0)),IF(ISERROR(VLOOKUP($A48,,12,0)),"    -",VLOOKUP($A48,,12,0)),VLOOKUP($A48,,13,0)))</f>
        <v>    -</v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>code non répertorié ou synonyme</v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X48" s="217"/>
      <c r="Y48" s="215" t="str">
        <f aca="false">IF(A48="new.cod","NEWCOD",IF(AND((Z48=""),ISTEXT(A48)),A48,IF(Z48="","",INDEX(,Z48))))</f>
        <v>SOADUL</v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n">
        <f aca="false">IF(A48="","",1)</f>
        <v>1</v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106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la Loire</v>
      </c>
      <c r="B84" s="256" t="str">
        <f aca="false">C3</f>
        <v>LOIRE à GOUDET</v>
      </c>
      <c r="C84" s="257" t="n">
        <f aca="false">A4</f>
        <v>41919</v>
      </c>
      <c r="D84" s="258" t="str">
        <f aca="false">IF(ISERROR(SUM($T$23:$T$82)/SUM($U$23:$U$82)),"",SUM($T$23:$T$82)/SUM($U$23:$U$82))</f>
        <v/>
      </c>
      <c r="E84" s="259" t="n">
        <f aca="false">N13</f>
        <v>26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50.511425222382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107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108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109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110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111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112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113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114</v>
      </c>
      <c r="R93" s="9"/>
      <c r="S93" s="215" t="str">
        <f aca="false">INDEX($A$23:$A$82,$S$92)</f>
        <v>OEDSPX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2024-04-16T07:16:19Z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