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3355_DUNIERES" sheetId="1" state="visible" r:id="rId3"/>
  </sheets>
  <externalReferences>
    <externalReference r:id="rId4"/>
  </externalReferences>
  <definedNames>
    <definedName function="false" hidden="false" localSheetId="0" name="_xlnm.Print_Area" vbProcedure="false">04003355_DUNIERES!$A$1:$O$82</definedName>
    <definedName function="false" hidden="false" localSheetId="0" name="Excel_BuiltIn__FilterDatabase" vbProcedure="false">04003355_DUNIERES!$A$23:$J$84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<sst xmlns="http://schemas.openxmlformats.org/spreadsheetml/2006/main" count="99" uniqueCount="95">
  <si>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</si>
  <si>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</si>
  <si>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SCE</t>
  </si>
  <si>
    <t xml:space="preserve">JF MARCHAIS</t>
  </si>
  <si>
    <t xml:space="preserve">conforme AFNOR T90-395 oct. 2003</t>
  </si>
  <si>
    <t xml:space="preserve">DUNIERES</t>
  </si>
  <si>
    <t xml:space="preserve">Dunières</t>
  </si>
  <si>
    <t xml:space="preserve">04003355</t>
  </si>
  <si>
    <t xml:space="preserve">09250A-RCS Auvergne</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</si>
  <si>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</si>
  <si>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</si>
  <si>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</si>
  <si>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</si>
  <si>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</si>
  <si>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</si>
  <si>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</si>
  <si>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</si>
  <si>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</si>
  <si>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</si>
  <si>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</si>
  <si>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</si>
  <si>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</si>
  <si>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</si>
  <si>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</si>
  <si>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</si>
  <si>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</si>
  <si>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</si>
  <si>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</si>
  <si>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</si>
  <si>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</si>
  <si>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</si>
  <si>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</si>
  <si>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</si>
  <si>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</si>
  <si>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</si>
  <si>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</si>
  <si>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</si>
  <si>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</si>
  <si>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</si>
  <si>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</si>
  <si>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</si>
  <si>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</si>
  <si>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</si>
  <si>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</si>
  <si>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</si>
  <si>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</si>
  <si>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</si>
  <si>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</si>
  <si>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</si>
  <si>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</si>
  <si>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</si>
  <si>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</si>
  <si>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</si>
  <si>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</si>
  <si>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</si>
  <si>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</si>
  <si>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</si>
  <si>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</si>
  <si>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</si>
  <si>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</si>
  <si>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</si>
  <si>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</si>
  <si>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</si>
  <si>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</si>
  <si>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</si>
  <si>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</si>
  <si>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</si>
  <si>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</si>
  <si>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</si>
  <si>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</si>
  <si>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</si>
  <si>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</si>
  <si>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</si>
  <si>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</si>
  <si>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</si>
  <si>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</si>
  <si>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MEL.SPX</t>
  </si>
  <si>
    <t xml:space="preserve">PHO.SPX</t>
  </si>
  <si>
    <t xml:space="preserve">DER.WEB</t>
  </si>
  <si>
    <t xml:space="preserve">CHI.POL</t>
  </si>
  <si>
    <t xml:space="preserve">SCA.UND</t>
  </si>
  <si>
    <t xml:space="preserve">AMB.FLU</t>
  </si>
  <si>
    <t xml:space="preserve">FIS.CRA</t>
  </si>
  <si>
    <t xml:space="preserve">FON.ANT</t>
  </si>
  <si>
    <t xml:space="preserve">FON.SQU</t>
  </si>
  <si>
    <t xml:space="preserve">CAL.HAM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</si>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</sst>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13.8055555555556</v>
      </c>
      <c r="M5" s="51"/>
      <c r="N5" s="52" t="s">
        <v>15</v>
      </c>
      <c r="O5" s="53" t="n">
        <v>13.969696969697</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13.2307692307692</v>
      </c>
      <c r="O8" s="82" t="n">
        <f aca="false">AVERAGE(J23:J82)</f>
        <v>1.92307692307692</v>
      </c>
      <c r="P8" s="8"/>
      <c r="Q8" s="8"/>
      <c r="R8" s="8"/>
      <c r="S8" s="8"/>
      <c r="T8" s="8"/>
      <c r="U8" s="8"/>
      <c r="V8" s="20"/>
      <c r="W8" s="21"/>
    </row>
    <row r="9" customFormat="false" ht="12.75" hidden="false" customHeight="false" outlineLevel="0" collapsed="false">
      <c r="A9" s="83" t="s">
        <v>28</v>
      </c>
      <c r="B9" s="84" t="n">
        <v>5</v>
      </c>
      <c r="C9" s="85" t="n">
        <v>1</v>
      </c>
      <c r="D9" s="86"/>
      <c r="E9" s="86"/>
      <c r="F9" s="87" t="n">
        <f aca="false">($B9*$B$7+$C9*$C$7)/100</f>
        <v>3.4</v>
      </c>
      <c r="G9" s="88"/>
      <c r="H9" s="89"/>
      <c r="I9" s="90"/>
      <c r="J9" s="91"/>
      <c r="K9" s="71"/>
      <c r="L9" s="92"/>
      <c r="M9" s="80" t="s">
        <v>29</v>
      </c>
      <c r="N9" s="81" t="n">
        <f aca="false">STDEV(I23:I82)</f>
        <v>2.35066820832737</v>
      </c>
      <c r="O9" s="82" t="n">
        <f aca="false">STDEV(J23:J82)</f>
        <v>0.75955452531275</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10</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17</v>
      </c>
      <c r="O11" s="105" t="n">
        <f aca="false">MAX(J23:J82)</f>
        <v>3</v>
      </c>
      <c r="P11" s="8"/>
      <c r="Q11" s="8"/>
      <c r="R11" s="8"/>
      <c r="S11" s="8"/>
      <c r="T11" s="8"/>
      <c r="U11" s="8"/>
    </row>
    <row r="12" customFormat="false" ht="12.75" hidden="false" customHeight="false" outlineLevel="0" collapsed="false">
      <c r="A12" s="115" t="s">
        <v>36</v>
      </c>
      <c r="B12" s="116" t="n">
        <v>0.3</v>
      </c>
      <c r="C12" s="117" t="n">
        <v>0.03</v>
      </c>
      <c r="D12" s="109"/>
      <c r="E12" s="109"/>
      <c r="F12" s="110" t="n">
        <f aca="false">($B12*$B$7+$C12*$C$7)/100</f>
        <v>0.192</v>
      </c>
      <c r="G12" s="118"/>
      <c r="H12" s="66"/>
      <c r="I12" s="119" t="s">
        <v>37</v>
      </c>
      <c r="J12" s="119"/>
      <c r="K12" s="113" t="n">
        <f aca="false">COUNTIF($G$23:$G$82,"=ALG")</f>
        <v>4</v>
      </c>
      <c r="L12" s="120"/>
      <c r="M12" s="121"/>
      <c r="N12" s="122" t="s">
        <v>31</v>
      </c>
      <c r="O12" s="123"/>
      <c r="P12" s="8"/>
      <c r="Q12" s="8"/>
      <c r="R12" s="8"/>
      <c r="S12" s="8"/>
      <c r="T12" s="8"/>
      <c r="U12" s="8"/>
    </row>
    <row r="13" customFormat="false" ht="12.75" hidden="false" customHeight="false" outlineLevel="0" collapsed="false">
      <c r="A13" s="115" t="s">
        <v>38</v>
      </c>
      <c r="B13" s="116" t="n">
        <v>3</v>
      </c>
      <c r="C13" s="117" t="n">
        <v>0.3</v>
      </c>
      <c r="D13" s="109"/>
      <c r="E13" s="109"/>
      <c r="F13" s="110" t="n">
        <f aca="false">($B13*$B$7+$C13*$C$7)/100</f>
        <v>1.92</v>
      </c>
      <c r="G13" s="118"/>
      <c r="H13" s="66"/>
      <c r="I13" s="119" t="s">
        <v>39</v>
      </c>
      <c r="J13" s="119"/>
      <c r="K13" s="113" t="n">
        <f aca="false">COUNTIF($G$23:$G$82,"=BRm")+COUNTIF($G$23:$G$82,"=BRh")</f>
        <v>7</v>
      </c>
      <c r="L13" s="114"/>
      <c r="M13" s="124" t="s">
        <v>40</v>
      </c>
      <c r="N13" s="125" t="n">
        <f aca="false">COUNTIF(F23:F82,"&gt;0")</f>
        <v>13</v>
      </c>
      <c r="O13" s="126"/>
      <c r="P13" s="8"/>
      <c r="Q13" s="8"/>
      <c r="R13" s="8"/>
      <c r="S13" s="8"/>
      <c r="T13" s="8"/>
      <c r="U13" s="8"/>
    </row>
    <row r="14" customFormat="false" ht="12.75" hidden="false" customHeight="false" outlineLevel="0" collapsed="false">
      <c r="A14" s="115" t="s">
        <v>41</v>
      </c>
      <c r="B14" s="116" t="n">
        <v>0.05</v>
      </c>
      <c r="C14" s="117" t="n">
        <v>0.01</v>
      </c>
      <c r="D14" s="109"/>
      <c r="E14" s="109"/>
      <c r="F14" s="110" t="n">
        <f aca="false">($B14*$B$7+$C14*$C$7)/100</f>
        <v>0.034</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0.05</v>
      </c>
      <c r="C15" s="132" t="n">
        <v>0.2</v>
      </c>
      <c r="D15" s="109"/>
      <c r="E15" s="109"/>
      <c r="F15" s="110" t="n">
        <f aca="false">($B15*$B$7+$C15*$C$7)/100</f>
        <v>0.11</v>
      </c>
      <c r="G15" s="118"/>
      <c r="H15" s="66"/>
      <c r="I15" s="119" t="s">
        <v>45</v>
      </c>
      <c r="J15" s="119"/>
      <c r="K15" s="113" t="n">
        <f aca="false">(COUNTIF($G$23:$G$82,"=PHy"))+(COUNTIF($G$23:$G$82,"=PHe"))+(COUNTIF($G$23:$G$82,"=PHg"))+(COUNTIF($G$23:$G$82,"=PHx"))</f>
        <v>1</v>
      </c>
      <c r="L15" s="114"/>
      <c r="M15" s="133" t="s">
        <v>46</v>
      </c>
      <c r="N15" s="134" t="n">
        <f aca="false">COUNTIF(J23:J82,"=1")</f>
        <v>4</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3.4</v>
      </c>
      <c r="C17" s="117" t="n">
        <v>0.54</v>
      </c>
      <c r="D17" s="109"/>
      <c r="E17" s="109"/>
      <c r="F17" s="139"/>
      <c r="G17" s="110" t="n">
        <f aca="false">($B17*$B$7+$C17*$C$7)/100</f>
        <v>2.256</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2.256</v>
      </c>
      <c r="G19" s="151" t="n">
        <f aca="false">SUM(G16:G18)</f>
        <v>2.256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4.063</v>
      </c>
      <c r="C20" s="160" t="n">
        <f aca="false">SUM(C23:C82)</f>
        <v>0.641</v>
      </c>
      <c r="D20" s="161"/>
      <c r="E20" s="162" t="s">
        <v>52</v>
      </c>
      <c r="F20" s="163" t="n">
        <f aca="false">($B20*$B$7+$C20*$C$7)/100</f>
        <v>2.6942</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2.4378</v>
      </c>
      <c r="C21" s="172" t="n">
        <f aca="false">C20*C7/100</f>
        <v>0.2564</v>
      </c>
      <c r="D21" s="109" t="str">
        <f aca="false">IF(F21=0,"",IF((ABS(F21-F19))&gt;(0.2*F21),CONCATENATE(" rec. par taxa (",F21," %) supérieur à 20 % !"),""))</f>
        <v/>
      </c>
      <c r="E21" s="173" t="str">
        <f aca="false">IF(F21=0,"",IF((ABS(F21-F19))&gt;(0.2*F21),CONCATENATE("ATTENTION : écart entre rec. par grp (",F19," %) ","et",""),""))</f>
        <v/>
      </c>
      <c r="F21" s="174" t="n">
        <f aca="false">B21+C21</f>
        <v>2.6942</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0.0006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0.0006</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0.3</v>
      </c>
      <c r="C24" s="214" t="n">
        <v>0.03</v>
      </c>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0.192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0.192</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0.01</v>
      </c>
      <c r="C25" s="214" t="n">
        <v>0.01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2"/>
      <c r="M25" s="222"/>
      <c r="N25" s="222"/>
      <c r="O25" s="223"/>
      <c r="P25" s="206" t="n">
        <f aca="false">IF(ISTEXT(H25),"",(B25*$B$7/100)+(C25*$C$7/100))</f>
        <v>0.01</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t="n">
        <v>0.001</v>
      </c>
      <c r="C26" s="214" t="n">
        <v>0.001</v>
      </c>
      <c r="D26" s="215" t="str">
        <f aca="false">IF(ISERROR(VLOOKUP($A26,'[1]liste reference'!$A$7:$D$906,2,0)),IF(ISERROR(VLOOKUP($A26,'[1]liste reference'!$B$7:$D$906,1,0)),"",VLOOKUP($A26,'[1]liste reference'!$B$7:$D$906,1,0)),VLOOKUP($A26,'[1]liste reference'!$A$7:$D$906,2,0))</f>
        <v>Phormidium sp.</v>
      </c>
      <c r="E26" s="215" t="e">
        <f aca="false">IF(D26="",0,VLOOKUP(D26,D$22:D25,1,0))</f>
        <v>#N/A</v>
      </c>
      <c r="F26" s="216" t="n">
        <f aca="false">($B26*$B$7+$C26*$C$7)/100</f>
        <v>0.001</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13</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Phormidium sp.</v>
      </c>
      <c r="L26" s="222"/>
      <c r="M26" s="222"/>
      <c r="N26" s="222"/>
      <c r="O26" s="223"/>
      <c r="P26" s="206" t="n">
        <f aca="false">IF(ISTEXT(H26),"",(B26*$B$7/100)+(C26*$C$7/100))</f>
        <v>0.001</v>
      </c>
      <c r="Q26" s="207" t="n">
        <f aca="false">IF(OR(ISTEXT(H26),P26=0),"",IF(P26&lt;0.1,1,IF(P26&lt;1,2,IF(P26&lt;10,3,IF(P26&lt;50,4,IF(P26&gt;=50,5,""))))))</f>
        <v>1</v>
      </c>
      <c r="R26" s="207" t="n">
        <f aca="false">IF(ISERROR(Q26*I26),0,Q26*I26)</f>
        <v>13</v>
      </c>
      <c r="S26" s="207" t="n">
        <f aca="false">IF(ISERROR(Q26*I26*J26),0,Q26*I26*J26)</f>
        <v>26</v>
      </c>
      <c r="T26" s="221" t="n">
        <f aca="false">IF(ISERROR(Q26*J26),0,Q26*J26)</f>
        <v>2</v>
      </c>
      <c r="U26" s="208" t="str">
        <f aca="false">IF(AND(A26="",F26=0),"",IF(F26=0,"Il manque le(s) % de rec. !",""))</f>
        <v/>
      </c>
      <c r="V26" s="209"/>
      <c r="X26" s="207" t="str">
        <f aca="false">IF(A26="new.cod","NEW.COD",IF(AND((Y26=""),ISTEXT(A26)),A26,IF(Y26="","",INDEX('[1]liste reference'!$A$7:$A$906,Y26))))</f>
        <v>PHO.SPX</v>
      </c>
      <c r="Y26" s="8" t="n">
        <f aca="false">IF(ISERROR(MATCH(A26,'[1]liste reference'!$A$7:$A$906,0)),IF(ISERROR(MATCH(A26,'[1]liste reference'!$B$7:$B$906,0)),"",(MATCH(A26,'[1]liste reference'!$B$7:$B$906,0))),(MATCH(A26,'[1]liste reference'!$A$7:$A$906,0)))</f>
        <v>58</v>
      </c>
      <c r="Z26" s="210"/>
      <c r="AA26" s="211"/>
      <c r="BB26" s="8" t="n">
        <f aca="false">IF(A26="","",1)</f>
        <v>1</v>
      </c>
    </row>
    <row r="27" customFormat="false" ht="12.75" hidden="false" customHeight="false" outlineLevel="0" collapsed="false">
      <c r="A27" s="212" t="s">
        <v>78</v>
      </c>
      <c r="B27" s="213" t="n">
        <v>0.05</v>
      </c>
      <c r="C27" s="214" t="n">
        <v>0.01</v>
      </c>
      <c r="D27" s="215" t="str">
        <f aca="false">IF(ISERROR(VLOOKUP($A27,'[1]liste reference'!$A$7:$D$906,2,0)),IF(ISERROR(VLOOKUP($A27,'[1]liste reference'!$B$7:$D$906,1,0)),"",VLOOKUP($A27,'[1]liste reference'!$B$7:$D$906,1,0)),VLOOKUP($A27,'[1]liste reference'!$A$7:$D$906,2,0))</f>
        <v>Dermatocarpon weberi</v>
      </c>
      <c r="E27" s="215" t="e">
        <f aca="false">IF(D27="",0,VLOOKUP(D27,D$22:D26,1,0))</f>
        <v>#N/A</v>
      </c>
      <c r="F27" s="216" t="n">
        <f aca="false">($B27*$B$7+$C27*$C$7)/100</f>
        <v>0.034</v>
      </c>
      <c r="G27" s="217" t="str">
        <f aca="false">IF(A27="","",IF(ISERROR(VLOOKUP($A27,'[1]liste reference'!$A$7:$P$906,13,0)),IF(ISERROR(VLOOKUP($A27,'[1]liste reference'!$B$7:$P$906,12,0)),"    -",VLOOKUP($A27,'[1]liste reference'!$B$7:$P$906,12,0)),VLOOKUP($A27,'[1]liste reference'!$A$7:$P$906,13,0)))</f>
        <v>LIC</v>
      </c>
      <c r="H27" s="200" t="n">
        <f aca="false">IF(A27="","x",IF(ISERROR(VLOOKUP($A27,'[1]liste reference'!$A$7:$P$906,14,0)),IF(ISERROR(VLOOKUP($A27,'[1]liste reference'!$B$7:$P$906,13,0)),"x",VLOOKUP($A27,'[1]liste reference'!$B$7:$P$906,13,0)),VLOOKUP($A27,'[1]liste reference'!$A$7:$P$906,14,0)))</f>
        <v>3</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Dermatocarpon weberi</v>
      </c>
      <c r="L27" s="220"/>
      <c r="M27" s="220"/>
      <c r="N27" s="220"/>
      <c r="O27" s="205"/>
      <c r="P27" s="206" t="n">
        <f aca="false">IF(ISTEXT(H27),"",(B27*$B$7/100)+(C27*$C$7/100))</f>
        <v>0.034</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DER.WEB</v>
      </c>
      <c r="Y27" s="8" t="n">
        <f aca="false">IF(ISERROR(MATCH(A27,'[1]liste reference'!$A$7:$A$906,0)),IF(ISERROR(MATCH(A27,'[1]liste reference'!$B$7:$B$906,0)),"",(MATCH(A27,'[1]liste reference'!$B$7:$B$906,0))),(MATCH(A27,'[1]liste reference'!$A$7:$A$906,0)))</f>
        <v>89</v>
      </c>
      <c r="Z27" s="210"/>
      <c r="AA27" s="211"/>
      <c r="BB27" s="8" t="n">
        <f aca="false">IF(A27="","",1)</f>
        <v>1</v>
      </c>
    </row>
    <row r="28" customFormat="false" ht="12.75" hidden="false" customHeight="false" outlineLevel="0" collapsed="false">
      <c r="A28" s="212" t="s">
        <v>79</v>
      </c>
      <c r="B28" s="213" t="n">
        <v>0.05</v>
      </c>
      <c r="C28" s="214" t="n">
        <v>0.01</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0.034</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0.034</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80</v>
      </c>
      <c r="B29" s="213" t="n">
        <v>0.001</v>
      </c>
      <c r="C29" s="214"/>
      <c r="D29" s="215" t="str">
        <f aca="false">IF(ISERROR(VLOOKUP($A29,'[1]liste reference'!$A$7:$D$906,2,0)),IF(ISERROR(VLOOKUP($A29,'[1]liste reference'!$B$7:$D$906,1,0)),"",VLOOKUP($A29,'[1]liste reference'!$B$7:$D$906,1,0)),VLOOKUP($A29,'[1]liste reference'!$A$7:$D$906,2,0))</f>
        <v>Scapania undulata</v>
      </c>
      <c r="E29" s="215" t="e">
        <f aca="false">IF(D29="",0,VLOOKUP(D29,D$21:D28,1,0))</f>
        <v>#N/A</v>
      </c>
      <c r="F29" s="216" t="n">
        <f aca="false">($B29*$B$7+$C29*$C$7)/100</f>
        <v>0.0006</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17</v>
      </c>
      <c r="J29" s="202" t="n">
        <f aca="false">IF(ISNUMBER(H29),IF(ISERROR(VLOOKUP($A29,'[1]liste reference'!$A$7:$P$906,4,0)),IF(ISERROR(VLOOKUP($A29,'[1]liste reference'!$B$7:$P$906,3,0)),"",VLOOKUP($A29,'[1]liste reference'!$B$7:$P$906,3,0)),VLOOKUP($A29,'[1]liste reference'!$A$7:$P$906,4,0)),"")</f>
        <v>3</v>
      </c>
      <c r="K29" s="219" t="str">
        <f aca="false">IF(A29="NEW.COD",AA29,IF(ISTEXT($E29),"DEJA SAISI !",IF(A29="","",IF(ISERROR(VLOOKUP($A29,'[1]liste reference'!$A$7:$D$906,2,0)),IF(ISERROR(VLOOKUP($A29,'[1]liste reference'!$B$7:$D$906,1,0)),"code non répertorié ou synonyme",VLOOKUP($A29,'[1]liste reference'!$B$7:$D$906,1,0)),VLOOKUP(A29,'[1]liste reference'!$A$7:$D$906,2,0)))))</f>
        <v>Scapania undulata</v>
      </c>
      <c r="L29" s="220"/>
      <c r="M29" s="220"/>
      <c r="N29" s="220"/>
      <c r="O29" s="205"/>
      <c r="P29" s="206" t="n">
        <f aca="false">IF(ISTEXT(H29),"",(B29*$B$7/100)+(C29*$C$7/100))</f>
        <v>0.0006</v>
      </c>
      <c r="Q29" s="207" t="n">
        <f aca="false">IF(OR(ISTEXT(H29),P29=0),"",IF(P29&lt;0.1,1,IF(P29&lt;1,2,IF(P29&lt;10,3,IF(P29&lt;50,4,IF(P29&gt;=50,5,""))))))</f>
        <v>1</v>
      </c>
      <c r="R29" s="207" t="n">
        <f aca="false">IF(ISERROR(Q29*I29),0,Q29*I29)</f>
        <v>17</v>
      </c>
      <c r="S29" s="207" t="n">
        <f aca="false">IF(ISERROR(Q29*I29*J29),0,Q29*I29*J29)</f>
        <v>51</v>
      </c>
      <c r="T29" s="221" t="n">
        <f aca="false">IF(ISERROR(Q29*J29),0,Q29*J29)</f>
        <v>3</v>
      </c>
      <c r="U29" s="208" t="str">
        <f aca="false">IF(AND(A29="",F29=0),"",IF(F29=0,"Il manque le(s) % de rec. !",""))</f>
        <v/>
      </c>
      <c r="V29" s="209"/>
      <c r="W29" s="224"/>
      <c r="X29" s="207" t="str">
        <f aca="false">IF(A29="new.cod","NEW.COD",IF(AND((Y29=""),ISTEXT(A29)),A29,IF(Y29="","",INDEX('[1]liste reference'!$A$7:$A$906,Y29))))</f>
        <v>SCA.UND</v>
      </c>
      <c r="Y29" s="8" t="n">
        <f aca="false">IF(ISERROR(MATCH(A29,'[1]liste reference'!$A$7:$A$906,0)),IF(ISERROR(MATCH(A29,'[1]liste reference'!$B$7:$B$906,0)),"",(MATCH(A29,'[1]liste reference'!$B$7:$B$906,0))),(MATCH(A29,'[1]liste reference'!$A$7:$A$906,0)))</f>
        <v>145</v>
      </c>
      <c r="Z29" s="210"/>
      <c r="AA29" s="211"/>
      <c r="BB29" s="8" t="n">
        <f aca="false">IF(A29="","",1)</f>
        <v>1</v>
      </c>
    </row>
    <row r="30" customFormat="false" ht="12.75" hidden="false" customHeight="false" outlineLevel="0" collapsed="false">
      <c r="A30" s="212" t="s">
        <v>81</v>
      </c>
      <c r="B30" s="213" t="n">
        <v>0.1</v>
      </c>
      <c r="C30" s="214" t="n">
        <v>0.01</v>
      </c>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0.064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0.064</v>
      </c>
      <c r="Q30" s="207" t="n">
        <f aca="false">IF(OR(ISTEXT(H30),P30=0),"",IF(P30&lt;0.1,1,IF(P30&lt;1,2,IF(P30&lt;10,3,IF(P30&lt;50,4,IF(P30&gt;=50,5,""))))))</f>
        <v>1</v>
      </c>
      <c r="R30" s="207" t="n">
        <f aca="false">IF(ISERROR(Q30*I30),0,Q30*I30)</f>
        <v>11</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212" t="s">
        <v>82</v>
      </c>
      <c r="B31" s="213" t="n">
        <v>0.2</v>
      </c>
      <c r="C31" s="214" t="n">
        <v>0.02</v>
      </c>
      <c r="D31" s="215" t="str">
        <f aca="false">IF(ISERROR(VLOOKUP($A31,'[1]liste reference'!$A$7:$D$906,2,0)),IF(ISERROR(VLOOKUP($A31,'[1]liste reference'!$B$7:$D$906,1,0)),"",VLOOKUP($A31,'[1]liste reference'!$B$7:$D$906,1,0)),VLOOKUP($A31,'[1]liste reference'!$A$7:$D$906,2,0))</f>
        <v>Fissidens crassipes</v>
      </c>
      <c r="E31" s="215" t="e">
        <f aca="false">IF(D31="",0,VLOOKUP(D31,D$22:D30,1,0))</f>
        <v>#N/A</v>
      </c>
      <c r="F31" s="216" t="n">
        <f aca="false">($B31*$B$7+$C31*$C$7)/100</f>
        <v>0.128</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Fissidens crassipes</v>
      </c>
      <c r="L31" s="220"/>
      <c r="M31" s="220"/>
      <c r="N31" s="220"/>
      <c r="O31" s="205"/>
      <c r="P31" s="206" t="n">
        <f aca="false">IF(ISTEXT(H31),"",(B31*$B$7/100)+(C31*$C$7/100))</f>
        <v>0.128</v>
      </c>
      <c r="Q31" s="207" t="n">
        <f aca="false">IF(OR(ISTEXT(H31),P31=0),"",IF(P31&lt;0.1,1,IF(P31&lt;1,2,IF(P31&lt;10,3,IF(P31&lt;50,4,IF(P31&gt;=50,5,""))))))</f>
        <v>2</v>
      </c>
      <c r="R31" s="207" t="n">
        <f aca="false">IF(ISERROR(Q31*I31),0,Q31*I31)</f>
        <v>24</v>
      </c>
      <c r="S31" s="207" t="n">
        <f aca="false">IF(ISERROR(Q31*I31*J31),0,Q31*I31*J31)</f>
        <v>48</v>
      </c>
      <c r="T31" s="221" t="n">
        <f aca="false">IF(ISERROR(Q31*J31),0,Q31*J31)</f>
        <v>4</v>
      </c>
      <c r="U31" s="208" t="str">
        <f aca="false">IF(AND(A31="",F31=0),"",IF(F31=0,"Il manque le(s) % de rec. !",""))</f>
        <v/>
      </c>
      <c r="V31" s="209"/>
      <c r="X31" s="207" t="str">
        <f aca="false">IF(A31="new.cod","NEW.COD",IF(AND((Y31=""),ISTEXT(A31)),A31,IF(Y31="","",INDEX('[1]liste reference'!$A$7:$A$906,Y31))))</f>
        <v>FIS.CRA</v>
      </c>
      <c r="Y31" s="8" t="n">
        <f aca="false">IF(ISERROR(MATCH(A31,'[1]liste reference'!$A$7:$A$906,0)),IF(ISERROR(MATCH(A31,'[1]liste reference'!$B$7:$B$906,0)),"",(MATCH(A31,'[1]liste reference'!$B$7:$B$906,0))),(MATCH(A31,'[1]liste reference'!$A$7:$A$906,0)))</f>
        <v>198</v>
      </c>
      <c r="Z31" s="210"/>
      <c r="AA31" s="211"/>
      <c r="BB31" s="8" t="n">
        <f aca="false">IF(A31="","",1)</f>
        <v>1</v>
      </c>
    </row>
    <row r="32" customFormat="false" ht="12.75" hidden="false" customHeight="false" outlineLevel="0" collapsed="false">
      <c r="A32" s="212" t="s">
        <v>83</v>
      </c>
      <c r="B32" s="213" t="n">
        <v>0.3</v>
      </c>
      <c r="C32" s="214" t="n">
        <v>0.05</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0.2</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84</v>
      </c>
      <c r="B33" s="213" t="n">
        <v>1</v>
      </c>
      <c r="C33" s="214" t="n">
        <v>0.2</v>
      </c>
      <c r="D33" s="215" t="str">
        <f aca="false">IF(ISERROR(VLOOKUP($A33,'[1]liste reference'!$A$7:$D$906,2,0)),IF(ISERROR(VLOOKUP($A33,'[1]liste reference'!$B$7:$D$906,1,0)),"",VLOOKUP($A33,'[1]liste reference'!$B$7:$D$906,1,0)),VLOOKUP($A33,'[1]liste reference'!$A$7:$D$906,2,0))</f>
        <v>Fontinalis squamosa</v>
      </c>
      <c r="E33" s="215" t="e">
        <f aca="false">IF(D33="",0,VLOOKUP(D33,D$22:D32,1,0))</f>
        <v>#N/A</v>
      </c>
      <c r="F33" s="216" t="n">
        <f aca="false">($B33*$B$7+$C33*$C$7)/100</f>
        <v>0.68</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0"/>
      <c r="M33" s="220"/>
      <c r="N33" s="220"/>
      <c r="O33" s="205"/>
      <c r="P33" s="206" t="n">
        <f aca="false">IF(ISTEXT(H33),"",(B33*$B$7/100)+(C33*$C$7/100))</f>
        <v>0.68</v>
      </c>
      <c r="Q33" s="207" t="n">
        <f aca="false">IF(OR(ISTEXT(H33),P33=0),"",IF(P33&lt;0.1,1,IF(P33&lt;1,2,IF(P33&lt;10,3,IF(P33&lt;50,4,IF(P33&gt;=50,5,""))))))</f>
        <v>2</v>
      </c>
      <c r="R33" s="207" t="n">
        <f aca="false">IF(ISERROR(Q33*I33),0,Q33*I33)</f>
        <v>32</v>
      </c>
      <c r="S33" s="207" t="n">
        <f aca="false">IF(ISERROR(Q33*I33*J33),0,Q33*I33*J33)</f>
        <v>96</v>
      </c>
      <c r="T33" s="221" t="n">
        <f aca="false">IF(ISERROR(Q33*J33),0,Q33*J33)</f>
        <v>6</v>
      </c>
      <c r="U33" s="208" t="str">
        <f aca="false">IF(AND(A33="",F33=0),"",IF(F33=0,"Il manque le(s) % de rec. !",""))</f>
        <v/>
      </c>
      <c r="V33" s="209"/>
      <c r="X33" s="207" t="str">
        <f aca="false">IF(A33="new.cod","NEW.COD",IF(AND((Y33=""),ISTEXT(A33)),A33,IF(Y33="","",INDEX('[1]liste reference'!$A$7:$A$906,Y33))))</f>
        <v>FON.SQU</v>
      </c>
      <c r="Y33" s="8" t="n">
        <f aca="false">IF(ISERROR(MATCH(A33,'[1]liste reference'!$A$7:$A$906,0)),IF(ISERROR(MATCH(A33,'[1]liste reference'!$B$7:$B$906,0)),"",(MATCH(A33,'[1]liste reference'!$B$7:$B$906,0))),(MATCH(A33,'[1]liste reference'!$A$7:$A$906,0)))</f>
        <v>215</v>
      </c>
      <c r="Z33" s="210"/>
      <c r="AA33" s="211"/>
      <c r="BB33" s="8" t="n">
        <f aca="false">IF(A33="","",1)</f>
        <v>1</v>
      </c>
    </row>
    <row r="34" customFormat="false" ht="12.75" hidden="false" customHeight="false" outlineLevel="0" collapsed="false">
      <c r="A34" s="212" t="s">
        <v>15</v>
      </c>
      <c r="B34" s="213" t="n">
        <v>2</v>
      </c>
      <c r="C34" s="214" t="n">
        <v>0.1</v>
      </c>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5" t="n">
        <f aca="false">($B34*$B$7+$C34*$C$7)/100</f>
        <v>1.24</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0"/>
      <c r="M34" s="220"/>
      <c r="N34" s="220"/>
      <c r="O34" s="205"/>
      <c r="P34" s="206" t="n">
        <f aca="false">IF(ISTEXT(H34),"",(B34*$B$7/100)+(C34*$C$7/100))</f>
        <v>1.24</v>
      </c>
      <c r="Q34" s="207" t="n">
        <f aca="false">IF(OR(ISTEXT(H34),P34=0),"",IF(P34&lt;0.1,1,IF(P34&lt;1,2,IF(P34&lt;10,3,IF(P34&lt;50,4,IF(P34&gt;=50,5,""))))))</f>
        <v>3</v>
      </c>
      <c r="R34" s="207" t="n">
        <f aca="false">IF(ISERROR(Q34*I34),0,Q34*I34)</f>
        <v>36</v>
      </c>
      <c r="S34" s="207" t="n">
        <f aca="false">IF(ISERROR(Q34*I34*J34),0,Q34*I34*J34)</f>
        <v>36</v>
      </c>
      <c r="T34" s="221" t="n">
        <f aca="false">IF(ISERROR(Q34*J34),0,Q34*J34)</f>
        <v>3</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85</v>
      </c>
      <c r="B35" s="213" t="n">
        <v>0.05</v>
      </c>
      <c r="C35" s="214" t="n">
        <v>0.2</v>
      </c>
      <c r="D35" s="215" t="str">
        <f aca="false">IF(ISERROR(VLOOKUP($A35,'[1]liste reference'!$A$7:$D$906,2,0)),IF(ISERROR(VLOOKUP($A35,'[1]liste reference'!$B$7:$D$906,1,0)),"",VLOOKUP($A35,'[1]liste reference'!$B$7:$D$906,1,0)),VLOOKUP($A35,'[1]liste reference'!$A$7:$D$906,2,0))</f>
        <v>Callitriche hamulata</v>
      </c>
      <c r="E35" s="215" t="e">
        <f aca="false">IF(D35="",0,VLOOKUP(D35,D$22:D34,1,0))</f>
        <v>#N/A</v>
      </c>
      <c r="F35" s="225" t="n">
        <f aca="false">($B35*$B$7+$C35*$C$7)/100</f>
        <v>0.11</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Callitriche hamulata</v>
      </c>
      <c r="L35" s="220"/>
      <c r="M35" s="220"/>
      <c r="N35" s="220"/>
      <c r="O35" s="205"/>
      <c r="P35" s="206" t="n">
        <f aca="false">IF(ISTEXT(H35),"",(B35*$B$7/100)+(C35*$C$7/100))</f>
        <v>0.11</v>
      </c>
      <c r="Q35" s="207" t="n">
        <f aca="false">IF(OR(ISTEXT(H35),P35=0),"",IF(P35&lt;0.1,1,IF(P35&lt;1,2,IF(P35&lt;10,3,IF(P35&lt;50,4,IF(P35&gt;=50,5,""))))))</f>
        <v>2</v>
      </c>
      <c r="R35" s="207" t="n">
        <f aca="false">IF(ISERROR(Q35*I35),0,Q35*I35)</f>
        <v>24</v>
      </c>
      <c r="S35" s="207" t="n">
        <f aca="false">IF(ISERROR(Q35*I35*J35),0,Q35*I35*J35)</f>
        <v>24</v>
      </c>
      <c r="T35" s="221" t="n">
        <f aca="false">IF(ISERROR(Q35*J35),0,Q35*J35)</f>
        <v>2</v>
      </c>
      <c r="U35" s="208" t="str">
        <f aca="false">IF(AND(A35="",F35=0),"",IF(F35=0,"Il manque le(s) % de rec. !",""))</f>
        <v/>
      </c>
      <c r="V35" s="209"/>
      <c r="X35" s="207" t="str">
        <f aca="false">IF(A35="new.cod","NEW.COD",IF(AND((Y35=""),ISTEXT(A35)),A35,IF(Y35="","",INDEX('[1]liste reference'!$A$7:$A$906,Y35))))</f>
        <v>CAL.HAM</v>
      </c>
      <c r="Y35" s="8" t="n">
        <f aca="false">IF(ISERROR(MATCH(A35,'[1]liste reference'!$A$7:$A$906,0)),IF(ISERROR(MATCH(A35,'[1]liste reference'!$B$7:$B$906,0)),"",(MATCH(A35,'[1]liste reference'!$B$7:$B$906,0))),(MATCH(A35,'[1]liste reference'!$A$7:$A$906,0)))</f>
        <v>318</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86</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DUNIERES</v>
      </c>
      <c r="B84" s="246" t="str">
        <f aca="false">C3</f>
        <v>Dunières</v>
      </c>
      <c r="C84" s="247" t="n">
        <f aca="false">A4</f>
        <v>40045</v>
      </c>
      <c r="D84" s="248" t="n">
        <f aca="false">IF(ISERROR(SUM($S$23:$S$82)/SUM($T$23:$T$82)),"",SUM($S$23:$S$82)/SUM($T$23:$T$82))</f>
        <v>13.8055555555556</v>
      </c>
      <c r="E84" s="249" t="n">
        <f aca="false">N13</f>
        <v>13</v>
      </c>
      <c r="F84" s="250" t="n">
        <f aca="false">N14</f>
        <v>13</v>
      </c>
      <c r="G84" s="250" t="n">
        <f aca="false">N15</f>
        <v>4</v>
      </c>
      <c r="H84" s="250" t="n">
        <f aca="false">N16</f>
        <v>6</v>
      </c>
      <c r="I84" s="250" t="n">
        <f aca="false">N17</f>
        <v>3</v>
      </c>
      <c r="J84" s="251" t="n">
        <f aca="false">N8</f>
        <v>13.2307692307692</v>
      </c>
      <c r="K84" s="248" t="n">
        <f aca="false">N9</f>
        <v>2.35066820832737</v>
      </c>
      <c r="L84" s="249" t="n">
        <f aca="false">N10</f>
        <v>10</v>
      </c>
      <c r="M84" s="249" t="n">
        <f aca="false">N11</f>
        <v>17</v>
      </c>
      <c r="N84" s="248" t="n">
        <f aca="false">O8</f>
        <v>1.92307692307692</v>
      </c>
      <c r="O84" s="248" t="n">
        <f aca="false">O9</f>
        <v>0.75955452531275</v>
      </c>
      <c r="P84" s="249" t="n">
        <f aca="false">O10</f>
        <v>1</v>
      </c>
      <c r="Q84" s="249" t="n">
        <f aca="false">O11</f>
        <v>3</v>
      </c>
      <c r="R84" s="252" t="n">
        <f aca="false">F21</f>
        <v>2.6942</v>
      </c>
      <c r="S84" s="249" t="n">
        <f aca="false">K11</f>
        <v>0</v>
      </c>
      <c r="T84" s="249" t="n">
        <f aca="false">K12</f>
        <v>4</v>
      </c>
      <c r="U84" s="249" t="n">
        <f aca="false">K13</f>
        <v>7</v>
      </c>
      <c r="V84" s="253" t="n">
        <f aca="false">K14</f>
        <v>0</v>
      </c>
      <c r="W84" s="254"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87</v>
      </c>
      <c r="Q86" s="8"/>
      <c r="R86" s="208"/>
      <c r="S86" s="8"/>
      <c r="T86" s="8"/>
      <c r="U86" s="8"/>
    </row>
    <row r="87" customFormat="false" ht="12.75" hidden="true" customHeight="false" outlineLevel="0" collapsed="false">
      <c r="P87" s="8" t="s">
        <v>88</v>
      </c>
      <c r="Q87" s="8"/>
      <c r="R87" s="208" t="n">
        <f aca="false">VLOOKUP(MAX($R$23:$R$82),($R$23:$T$82),1,0)</f>
        <v>36</v>
      </c>
      <c r="S87" s="8"/>
      <c r="T87" s="8"/>
      <c r="U87" s="8"/>
    </row>
    <row r="88" customFormat="false" ht="12.75" hidden="true" customHeight="false" outlineLevel="0" collapsed="false">
      <c r="P88" s="8" t="s">
        <v>89</v>
      </c>
      <c r="Q88" s="8"/>
      <c r="R88" s="208" t="n">
        <f aca="false">VLOOKUP((R87),($R$23:$T$82),2,0)</f>
        <v>36</v>
      </c>
      <c r="S88" s="8"/>
      <c r="T88" s="8"/>
      <c r="U88" s="8"/>
    </row>
    <row r="89" customFormat="false" ht="12.75" hidden="true" customHeight="false" outlineLevel="0" collapsed="false">
      <c r="P89" s="8" t="s">
        <v>90</v>
      </c>
      <c r="Q89" s="8"/>
      <c r="R89" s="208" t="n">
        <f aca="false">VLOOKUP((R87),($R$23:$T$82),3,0)</f>
        <v>3</v>
      </c>
      <c r="S89" s="8"/>
    </row>
    <row r="90" customFormat="false" ht="12.75" hidden="true" customHeight="false" outlineLevel="0" collapsed="false">
      <c r="P90" s="8" t="s">
        <v>91</v>
      </c>
      <c r="Q90" s="8"/>
      <c r="R90" s="256" t="n">
        <f aca="false">IF(ISERROR(SUM($S$23:$S$82)/SUM($T$23:$T$82)),"",(SUM($S$23:$S$82)-R88)/(SUM($T$23:$T$82)-R89))</f>
        <v>13.969696969697</v>
      </c>
      <c r="S90" s="8"/>
    </row>
    <row r="91" customFormat="false" ht="12.75" hidden="true" customHeight="false" outlineLevel="0" collapsed="false">
      <c r="P91" s="207" t="s">
        <v>92</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93</v>
      </c>
      <c r="Q92" s="8"/>
      <c r="R92" s="8" t="n">
        <f aca="false">MATCH(R87,$R$23:$R$82,0)</f>
        <v>12</v>
      </c>
      <c r="S92" s="8"/>
    </row>
    <row r="93" customFormat="false" ht="12.75" hidden="true" customHeight="false" outlineLevel="0" collapsed="false">
      <c r="P93" s="207" t="s">
        <v>94</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2024-03-13T11:54:23Z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