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355" sheetId="1" state="visible" r:id="rId3"/>
  </sheets>
  <definedNames>
    <definedName function="false" hidden="false" localSheetId="0" name="_xlnm.Print_Area" vbProcedure="false">'04003355'!$A$1:$Q$82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<sst xmlns="http://schemas.openxmlformats.org/spreadsheetml/2006/main" count="165" uniqueCount="101">
  <si>
    <t xml:space="preserve">Relevés floristiques aquatiques - IBMR</t>
  </si>
  <si>
    <t xml:space="preserve">modèle Irstea-GIS</t>
  </si>
  <si>
    <t xml:space="preserve">AQUABIO</t>
  </si>
  <si>
    <t xml:space="preserve">Aurélie JOSSET, Laetitia BLANCHARD</t>
  </si>
  <si>
    <t xml:space="preserve">la Dunières</t>
  </si>
  <si>
    <t xml:space="preserve">DUNIERES À DUNIERES</t>
  </si>
  <si>
    <t xml:space="preserve">04003355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</si>
  <si>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</si>
  <si>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</si>
  <si>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</si>
  <si>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</si>
  <si>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</si>
  <si>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</si>
  <si>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</si>
  <si>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</si>
  <si>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</si>
  <si>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</si>
  <si>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</si>
  <si>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</si>
  <si>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autre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</si>
  <si>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</si>
  <si>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</si>
  <si>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</si>
  <si>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</si>
  <si>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</si>
  <si>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</si>
  <si>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</si>
  <si>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</si>
  <si>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</si>
  <si>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</si>
  <si>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</si>
  <si>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</si>
  <si>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</si>
  <si>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</si>
  <si>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</si>
  <si>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</si>
  <si>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</si>
  <si>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</si>
  <si>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</si>
  <si>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</si>
  <si>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</si>
  <si>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</si>
  <si>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</si>
  <si>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</si>
  <si>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</si>
  <si>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</si>
  <si>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</si>
  <si>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</si>
  <si>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</si>
  <si>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</si>
  <si>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</si>
  <si>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</si>
  <si>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</si>
  <si>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</si>
  <si>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</si>
  <si>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</si>
  <si>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</si>
  <si>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</si>
  <si>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</si>
  <si>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</si>
  <si>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</si>
  <si>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</si>
  <si>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</si>
  <si>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</si>
  <si>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</si>
  <si>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</si>
  <si>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</si>
  <si>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</si>
  <si>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</si>
  <si>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</si>
  <si>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</si>
  <si>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</si>
  <si>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</si>
  <si>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</si>
  <si>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</si>
  <si>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</si>
  <si>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</si>
  <si>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</si>
  <si>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</si>
  <si>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FONANT</t>
  </si>
  <si>
    <t xml:space="preserve"> -</t>
  </si>
  <si>
    <t xml:space="preserve">HYAFLU</t>
  </si>
  <si>
    <t xml:space="preserve">FISCRA</t>
  </si>
  <si>
    <t xml:space="preserve">RHYRIP</t>
  </si>
  <si>
    <t xml:space="preserve">PHOSPX</t>
  </si>
  <si>
    <t xml:space="preserve">CHIPOL</t>
  </si>
  <si>
    <t xml:space="preserve">LEASPX</t>
  </si>
  <si>
    <t xml:space="preserve">DERWEB</t>
  </si>
  <si>
    <t xml:space="preserve">SCAUND</t>
  </si>
  <si>
    <t xml:space="preserve">CALBRU</t>
  </si>
  <si>
    <t xml:space="preserve">PAASPX</t>
  </si>
  <si>
    <t xml:space="preserve">NEWCOD</t>
  </si>
  <si>
    <t xml:space="preserve">Poaceae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</si>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</sst>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42202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14.3666666666667</v>
      </c>
      <c r="N5" s="48"/>
      <c r="O5" s="49" t="s">
        <v>16</v>
      </c>
      <c r="P5" s="50" t="n">
        <v>13.6666666666667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22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23</v>
      </c>
      <c r="B7" s="65" t="n">
        <v>86</v>
      </c>
      <c r="C7" s="66" t="n">
        <v>14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24</v>
      </c>
      <c r="P7" s="75" t="s">
        <v>25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26</v>
      </c>
      <c r="B8" s="40"/>
      <c r="C8" s="40"/>
      <c r="D8" s="54"/>
      <c r="E8" s="54"/>
      <c r="F8" s="77" t="s">
        <v>27</v>
      </c>
      <c r="G8" s="78"/>
      <c r="H8" s="54"/>
      <c r="I8" s="6"/>
      <c r="J8" s="69"/>
      <c r="K8" s="70"/>
      <c r="L8" s="71"/>
      <c r="M8" s="72"/>
      <c r="N8" s="79" t="s">
        <v>28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29</v>
      </c>
      <c r="B9" s="65" t="n">
        <v>0.5</v>
      </c>
      <c r="C9" s="66" t="n">
        <v>25</v>
      </c>
      <c r="D9" s="82"/>
      <c r="E9" s="82"/>
      <c r="F9" s="83" t="n">
        <f aca="false">($B9*$B$7+$C9*$C$7)/100</f>
        <v>3.93</v>
      </c>
      <c r="G9" s="84"/>
      <c r="H9" s="41"/>
      <c r="I9" s="6"/>
      <c r="J9" s="85"/>
      <c r="K9" s="86"/>
      <c r="L9" s="71"/>
      <c r="M9" s="87"/>
      <c r="N9" s="79" t="s">
        <v>30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31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32</v>
      </c>
      <c r="L10" s="92"/>
      <c r="M10" s="93"/>
      <c r="N10" s="79" t="s">
        <v>33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34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35</v>
      </c>
      <c r="K11" s="101"/>
      <c r="L11" s="102" t="n">
        <f aca="false">COUNTIF($G$23:$G$82,"=HET")</f>
        <v>0</v>
      </c>
      <c r="M11" s="103"/>
      <c r="N11" s="79" t="s">
        <v>36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37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38</v>
      </c>
      <c r="K12" s="101"/>
      <c r="L12" s="102" t="n">
        <f aca="false">COUNTIF($G$23:$G$82,"=ALG")</f>
        <v>0</v>
      </c>
      <c r="M12" s="103"/>
      <c r="N12" s="107"/>
      <c r="O12" s="108" t="s">
        <v>32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39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40</v>
      </c>
      <c r="K13" s="101"/>
      <c r="L13" s="102" t="n">
        <f aca="false">COUNTIF($G$23:$G$82,"=BRm")+COUNTIF($G$23:$G$82,"=BRh")</f>
        <v>0</v>
      </c>
      <c r="M13" s="103"/>
      <c r="N13" s="111" t="s">
        <v>41</v>
      </c>
      <c r="O13" s="112" t="n">
        <f aca="false">COUNTIF(F23:F82,"&gt;0")</f>
        <v>13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42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43</v>
      </c>
      <c r="K14" s="101"/>
      <c r="L14" s="102" t="n">
        <f aca="false">COUNTIF($G$23:$G$82,"=PTE")+COUNTIF($G$23:$G$82,"=LIC")</f>
        <v>0</v>
      </c>
      <c r="M14" s="103"/>
      <c r="N14" s="114" t="s">
        <v>44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45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46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47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48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49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50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51</v>
      </c>
      <c r="M17" s="129" t="n">
        <f aca="false">IF(ISERROR((O13-(COUNTIF(J23:J82,"nc")))/O13),"-",(O13-(COUNTIF(J23:J82,"nc")))/O13)</f>
        <v>1</v>
      </c>
      <c r="N17" s="111" t="s">
        <v>52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53</v>
      </c>
      <c r="B18" s="132"/>
      <c r="C18" s="133"/>
      <c r="D18" s="82"/>
      <c r="E18" s="134" t="s">
        <v>54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55</v>
      </c>
      <c r="B20" s="154" t="n">
        <f aca="false">SUM(B23:B62)</f>
        <v>0.480000004172325</v>
      </c>
      <c r="C20" s="155" t="n">
        <f aca="false">SUM(C23:C62)</f>
        <v>23.8700000401586</v>
      </c>
      <c r="D20" s="156"/>
      <c r="E20" s="157" t="s">
        <v>54</v>
      </c>
      <c r="F20" s="158" t="n">
        <f aca="false">($B20*$B$7+$C20*$C$7)/100</f>
        <v>3.75460000921041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56</v>
      </c>
      <c r="B21" s="166" t="n">
        <f aca="false">B20*B7/100</f>
        <v>0.4128000035882</v>
      </c>
      <c r="C21" s="166" t="n">
        <f aca="false">C20*C7/100</f>
        <v>3.34180000562221</v>
      </c>
      <c r="D21" s="167" t="s">
        <v>57</v>
      </c>
      <c r="E21" s="168"/>
      <c r="F21" s="169" t="n">
        <f aca="false">B21+C21</f>
        <v>3.75460000921041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58</v>
      </c>
    </row>
    <row r="22" customFormat="false" ht="12.75" hidden="false" customHeight="false" outlineLevel="0" collapsed="false">
      <c r="A22" s="178" t="s">
        <v>59</v>
      </c>
      <c r="B22" s="179" t="s">
        <v>60</v>
      </c>
      <c r="C22" s="179" t="s">
        <v>60</v>
      </c>
      <c r="D22" s="180"/>
      <c r="E22" s="181"/>
      <c r="F22" s="182" t="s">
        <v>61</v>
      </c>
      <c r="G22" s="183" t="s">
        <v>62</v>
      </c>
      <c r="H22" s="82" t="s">
        <v>63</v>
      </c>
      <c r="I22" s="6" t="s">
        <v>64</v>
      </c>
      <c r="J22" s="184" t="s">
        <v>65</v>
      </c>
      <c r="K22" s="184" t="s">
        <v>66</v>
      </c>
      <c r="L22" s="185" t="s">
        <v>67</v>
      </c>
      <c r="M22" s="185"/>
      <c r="N22" s="185"/>
      <c r="O22" s="185"/>
      <c r="P22" s="177" t="s">
        <v>68</v>
      </c>
      <c r="Q22" s="186" t="s">
        <v>69</v>
      </c>
      <c r="R22" s="187" t="s">
        <v>70</v>
      </c>
      <c r="S22" s="188" t="s">
        <v>71</v>
      </c>
      <c r="T22" s="189" t="s">
        <v>72</v>
      </c>
      <c r="U22" s="189" t="s">
        <v>73</v>
      </c>
      <c r="V22" s="190" t="s">
        <v>74</v>
      </c>
      <c r="W22" s="191" t="s">
        <v>75</v>
      </c>
      <c r="X22" s="191" t="s">
        <v>76</v>
      </c>
      <c r="Y22" s="192" t="s">
        <v>77</v>
      </c>
      <c r="Z22" s="192" t="s">
        <v>78</v>
      </c>
    </row>
    <row r="23" customFormat="false" ht="12.75" hidden="false" customHeight="false" outlineLevel="0" collapsed="false">
      <c r="A23" s="193" t="s">
        <v>79</v>
      </c>
      <c r="B23" s="194" t="n">
        <v>0.00999999977648258</v>
      </c>
      <c r="C23" s="195" t="n">
        <v>0.800000011920929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0.120600001476705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80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FONANT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81</v>
      </c>
      <c r="B24" s="211" t="n">
        <v>0.00999999977648258</v>
      </c>
      <c r="C24" s="212" t="n">
        <v>0.600000023841858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0.0926000031456351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HYAFLU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82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80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FISCRA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83</v>
      </c>
      <c r="B26" s="211" t="n">
        <v>0.200000002980232</v>
      </c>
      <c r="C26" s="212" t="n">
        <v>16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2.412000002563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80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RHYRIP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84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0.00859999980777502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80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85</v>
      </c>
      <c r="B28" s="211" t="n">
        <v>0.00999999977648258</v>
      </c>
      <c r="C28" s="212" t="n">
        <v>0.400000005960465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0.06460000064224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80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CHIPOL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86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80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LEASPX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87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80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DERWEB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16</v>
      </c>
      <c r="B31" s="211" t="n">
        <v>0.200000002980232</v>
      </c>
      <c r="C31" s="212" t="n">
        <v>6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1.012000002563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80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FONSQU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0.00139999996870756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80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SCAUND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</v>
      </c>
      <c r="C33" s="212" t="n">
        <v>0.0199999995529652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0.00279999993741512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80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CALBRU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0.00999999977648258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0.00859999980777502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80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PAASPX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0.00139999996870756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Poaceae</v>
      </c>
      <c r="M35" s="219"/>
      <c r="N35" s="219"/>
      <c r="O35" s="219"/>
      <c r="P35" s="220" t="s">
        <v>80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>NoCod</v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 t="s">
        <v>92</v>
      </c>
      <c r="X35" s="224"/>
      <c r="Y35" s="207" t="str">
        <f aca="false">IF(AND(ISNUMBER(F35),OR(A35="",A35="!!!!!!")),"!!!!!!",IF(A35="new.cod","NEWCOD",IF(AND((Z35=""),ISTEXT(A35),A35&lt;&gt;"!!!!!!"),A35,IF(Z35="","",INDEX(,Z35)))))</f>
        <v>NEWCOD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80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80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80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80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80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80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80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80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80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80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80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80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80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80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80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80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80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80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80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80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80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80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80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80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80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80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80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80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80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80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80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80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80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80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80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80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80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80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80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80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80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80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80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80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80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80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80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3.75460000921041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Dunières</v>
      </c>
      <c r="B84" s="175" t="str">
        <f aca="false">C3</f>
        <v>DUNIERES À DUNIERES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13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3.75460000921041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97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100</v>
      </c>
      <c r="S93" s="6"/>
      <c r="T93" s="207" t="str">
        <f aca="false">INDEX($A$23:$A$82,$T$92)</f>
        <v>FONANT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