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gnon a pont de lignon" sheetId="1" state="visible" r:id="rId3"/>
  </sheets>
  <externalReferences>
    <externalReference r:id="rId4"/>
  </externalReferences>
  <definedNames>
    <definedName function="false" hidden="false" localSheetId="0" name="_xlnm.Print_Area" vbProcedure="false">'lignon a pont de lignon'!$A$1:$O$82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<sst xmlns="http://schemas.openxmlformats.org/spreadsheetml/2006/main" count="101" uniqueCount="96">
  <si>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</si>
  <si>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</si>
  <si>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</si>
  <si>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</si>
  <si>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</si>
  <si>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Lignon du Velay</t>
  </si>
  <si>
    <t xml:space="preserve">Lignon du Velay à Pont de Lignon</t>
  </si>
  <si>
    <t xml:space="preserve">04003500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</si>
  <si>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</si>
  <si>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</si>
  <si>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</si>
  <si>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</si>
  <si>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</si>
  <si>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</si>
  <si>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</si>
  <si>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</si>
  <si>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</si>
  <si>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</si>
  <si>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</si>
  <si>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</si>
  <si>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</si>
  <si>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</si>
  <si>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</si>
  <si>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</si>
  <si>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</si>
  <si>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</si>
  <si>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</si>
  <si>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</si>
  <si>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</si>
  <si>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</si>
  <si>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</si>
  <si>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</si>
  <si>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</si>
  <si>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</si>
  <si>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</si>
  <si>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</si>
  <si>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</si>
  <si>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</si>
  <si>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</si>
  <si>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</si>
  <si>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</si>
  <si>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</si>
  <si>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</si>
  <si>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</si>
  <si>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</si>
  <si>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</si>
  <si>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</si>
  <si>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</si>
  <si>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</si>
  <si>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</si>
  <si>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</si>
  <si>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</si>
  <si>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</si>
  <si>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</si>
  <si>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</si>
  <si>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</si>
  <si>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</si>
  <si>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</si>
  <si>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</si>
  <si>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</si>
  <si>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</si>
  <si>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</si>
  <si>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</si>
  <si>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</si>
  <si>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</si>
  <si>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</si>
  <si>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</si>
  <si>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</si>
  <si>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</si>
  <si>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</si>
  <si>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</si>
  <si>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</si>
  <si>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</si>
  <si>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</si>
  <si>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LEASPX</t>
  </si>
  <si>
    <t xml:space="preserve">MELSPX</t>
  </si>
  <si>
    <t xml:space="preserve">NOSSPX</t>
  </si>
  <si>
    <t xml:space="preserve">OSCSPX</t>
  </si>
  <si>
    <t xml:space="preserve">SPISPX</t>
  </si>
  <si>
    <t xml:space="preserve">TETSPX</t>
  </si>
  <si>
    <t xml:space="preserve">TRISPX</t>
  </si>
  <si>
    <t xml:space="preserve">cf.</t>
  </si>
  <si>
    <t xml:space="preserve">BRARIV</t>
  </si>
  <si>
    <t xml:space="preserve">FONANT</t>
  </si>
  <si>
    <t xml:space="preserve">RHYRIP</t>
  </si>
  <si>
    <t xml:space="preserve">MENLON</t>
  </si>
  <si>
    <t xml:space="preserve">PHAARU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</si>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</sst>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11.8461538461538</v>
      </c>
      <c r="M5" s="51"/>
      <c r="N5" s="52" t="s">
        <v>16</v>
      </c>
      <c r="O5" s="53" t="n">
        <v>11.8260869565217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11.4166666666667</v>
      </c>
      <c r="O8" s="80" t="n">
        <f aca="false">AVERAGE(J23:J82)</f>
        <v>1.25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5</v>
      </c>
      <c r="C9" s="83"/>
      <c r="D9" s="84"/>
      <c r="E9" s="84"/>
      <c r="F9" s="85" t="n">
        <f aca="false">($B9*$B$7+$C9*$C$7)/100</f>
        <v>5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1.92865159365215</v>
      </c>
      <c r="O9" s="80" t="n">
        <f aca="false">STDEV(J23:J82)</f>
        <v>0.452267016866645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9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2.5</v>
      </c>
      <c r="C12" s="115"/>
      <c r="D12" s="107"/>
      <c r="E12" s="107"/>
      <c r="F12" s="108" t="n">
        <f aca="false">($B12*$B$7+$C12*$C$7)/100</f>
        <v>2.5</v>
      </c>
      <c r="G12" s="116"/>
      <c r="H12" s="64"/>
      <c r="I12" s="117" t="s">
        <v>37</v>
      </c>
      <c r="J12" s="117"/>
      <c r="K12" s="111" t="n">
        <f aca="false">COUNTIF($G$23:$G$82,"=ALG")</f>
        <v>7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1.5</v>
      </c>
      <c r="C13" s="115"/>
      <c r="D13" s="107"/>
      <c r="E13" s="107"/>
      <c r="F13" s="108" t="n">
        <f aca="false">($B13*$B$7+$C13*$C$7)/100</f>
        <v>1.5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3</v>
      </c>
      <c r="L13" s="112"/>
      <c r="M13" s="122" t="s">
        <v>40</v>
      </c>
      <c r="N13" s="123" t="n">
        <f aca="false">COUNTIF(F23:F82,"&gt;0")</f>
        <v>13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12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1</v>
      </c>
      <c r="C15" s="130"/>
      <c r="D15" s="107"/>
      <c r="E15" s="107"/>
      <c r="F15" s="108" t="n">
        <f aca="false">($B15*$B$7+$C15*$C$7)/100</f>
        <v>1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3</v>
      </c>
      <c r="L15" s="112"/>
      <c r="M15" s="131" t="s">
        <v>46</v>
      </c>
      <c r="N15" s="132" t="n">
        <f aca="false">COUNTIF(J23:J82,"=1")</f>
        <v>9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3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5</v>
      </c>
      <c r="C17" s="115"/>
      <c r="D17" s="107"/>
      <c r="E17" s="107"/>
      <c r="F17" s="137"/>
      <c r="G17" s="108" t="n">
        <f aca="false">($B17*$B$7+$C17*$C$7)/100</f>
        <v>5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5</v>
      </c>
      <c r="G19" s="149" t="n">
        <f aca="false">SUM(G16:G18)</f>
        <v>5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5.16392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5.16392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5.16392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5.16392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0.1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5" t="e">
        <f aca="false">IF(D23="",,VLOOKUP(D23,D$22:D22,1,0))</f>
        <v>#N/A</v>
      </c>
      <c r="F23" s="196" t="n">
        <f aca="false">($B23*$B$7+$C23*$C$7)/100</f>
        <v>0.1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2"/>
      <c r="M23" s="202"/>
      <c r="N23" s="202"/>
      <c r="O23" s="203"/>
      <c r="P23" s="204" t="n">
        <f aca="false">IF(ISTEXT(H23),"",(B23*$B$7/100)+(C23*$C$7/100))</f>
        <v>0.1</v>
      </c>
      <c r="Q23" s="205" t="n">
        <f aca="false">IF(OR(ISTEXT(H23),P23=0),"",IF(P23&lt;0.1,1,IF(P23&lt;1,2,IF(P23&lt;10,3,IF(P23&lt;50,4,IF(P23&gt;=50,5,""))))))</f>
        <v>2</v>
      </c>
      <c r="R23" s="205" t="n">
        <f aca="false">IF(ISERROR(Q23*I23),0,Q23*I23)</f>
        <v>30</v>
      </c>
      <c r="S23" s="205" t="n">
        <f aca="false">IF(ISERROR(Q23*I23*J23),0,Q23*I23*J23)</f>
        <v>60</v>
      </c>
      <c r="T23" s="205" t="n">
        <f aca="false">IF(ISERROR(Q23*J23),0,Q23*J23)</f>
        <v>4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LEASPX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2E-005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Melosira sp.</v>
      </c>
      <c r="E24" s="213" t="e">
        <f aca="false">IF(D24="",,VLOOKUP(D24,D$22:D23,1,0))</f>
        <v>#N/A</v>
      </c>
      <c r="F24" s="214" t="n">
        <f aca="false">($B24*$B$7+$C24*$C$7)/100</f>
        <v>2E-005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Melosira sp.</v>
      </c>
      <c r="L24" s="218"/>
      <c r="M24" s="218"/>
      <c r="N24" s="218"/>
      <c r="O24" s="203"/>
      <c r="P24" s="204" t="n">
        <f aca="false">IF(ISTEXT(H24),"",(B24*$B$7/100)+(C24*$C$7/100))</f>
        <v>2E-005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10</v>
      </c>
      <c r="S24" s="205" t="n">
        <f aca="false">IF(ISERROR(Q24*I24*J24),0,Q24*I24*J24)</f>
        <v>10</v>
      </c>
      <c r="T24" s="219" t="n">
        <f aca="false">IF(ISERROR(Q24*J24),0,Q24*J24)</f>
        <v>1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MELSPX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0.001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Nostoc sp.       </v>
      </c>
      <c r="E25" s="213" t="e">
        <f aca="false">IF(D25="",,VLOOKUP(D25,D$22:D24,1,0))</f>
        <v>#N/A</v>
      </c>
      <c r="F25" s="214" t="n">
        <f aca="false">($B25*$B$7+$C25*$C$7)/100</f>
        <v>0.001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9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Nostoc sp.       </v>
      </c>
      <c r="L25" s="220"/>
      <c r="M25" s="220"/>
      <c r="N25" s="220"/>
      <c r="O25" s="221"/>
      <c r="P25" s="204" t="n">
        <f aca="false">IF(ISTEXT(H25),"",(B25*$B$7/100)+(C25*$C$7/100))</f>
        <v>0.001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9</v>
      </c>
      <c r="S25" s="205" t="n">
        <f aca="false">IF(ISERROR(Q25*I25*J25),0,Q25*I25*J25)</f>
        <v>9</v>
      </c>
      <c r="T25" s="219" t="n">
        <f aca="false">IF(ISERROR(Q25*J25),0,Q25*J25)</f>
        <v>1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NOSSPX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55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77</v>
      </c>
      <c r="B26" s="211" t="n">
        <v>2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3" t="e">
        <f aca="false">IF(D26="",,VLOOKUP(D26,D$22:D25,1,0))</f>
        <v>#N/A</v>
      </c>
      <c r="F26" s="214" t="n">
        <f aca="false">($B26*$B$7+$C26*$C$7)/100</f>
        <v>2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18"/>
      <c r="M26" s="218"/>
      <c r="N26" s="218"/>
      <c r="O26" s="203"/>
      <c r="P26" s="204" t="n">
        <f aca="false">IF(ISTEXT(H26),"",(B26*$B$7/100)+(C26*$C$7/100))</f>
        <v>2</v>
      </c>
      <c r="Q26" s="205" t="n">
        <f aca="false">IF(OR(ISTEXT(H26),P26=0),"",IF(P26&lt;0.1,1,IF(P26&lt;1,2,IF(P26&lt;10,3,IF(P26&lt;50,4,IF(P26&gt;=50,5,""))))))</f>
        <v>3</v>
      </c>
      <c r="R26" s="205" t="n">
        <f aca="false">IF(ISERROR(Q26*I26),0,Q26*I26)</f>
        <v>33</v>
      </c>
      <c r="S26" s="205" t="n">
        <f aca="false">IF(ISERROR(Q26*I26*J26),0,Q26*I26*J26)</f>
        <v>33</v>
      </c>
      <c r="T26" s="219" t="n">
        <f aca="false">IF(ISERROR(Q26*J26),0,Q26*J26)</f>
        <v>3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OSCSPX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78</v>
      </c>
      <c r="B27" s="211" t="n">
        <v>0.05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Spirogyra sp.       </v>
      </c>
      <c r="E27" s="213" t="e">
        <f aca="false">IF(D27="",,VLOOKUP(D27,D$22:D26,1,0))</f>
        <v>#N/A</v>
      </c>
      <c r="F27" s="214" t="n">
        <f aca="false">($B27*$B$7+$C27*$C$7)/100</f>
        <v>0.05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Spirogyra sp.       </v>
      </c>
      <c r="L27" s="218"/>
      <c r="M27" s="218"/>
      <c r="N27" s="218"/>
      <c r="O27" s="203"/>
      <c r="P27" s="204" t="n">
        <f aca="false">IF(ISTEXT(H27),"",(B27*$B$7/100)+(C27*$C$7/100))</f>
        <v>0.05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10</v>
      </c>
      <c r="S27" s="205" t="n">
        <f aca="false">IF(ISERROR(Q27*I27*J27),0,Q27*I27*J27)</f>
        <v>10</v>
      </c>
      <c r="T27" s="219" t="n">
        <f aca="false">IF(ISERROR(Q27*J27),0,Q27*J27)</f>
        <v>1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SPISPX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70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79</v>
      </c>
      <c r="B28" s="211" t="n">
        <v>0.0009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Tetraspora sp.       </v>
      </c>
      <c r="E28" s="213" t="e">
        <f aca="false">IF(D28="",,VLOOKUP(D28,D$22:D27,1,0))</f>
        <v>#N/A</v>
      </c>
      <c r="F28" s="214" t="n">
        <f aca="false">($B28*$B$7+$C28*$C$7)/100</f>
        <v>0.0009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ALG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2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12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Tetraspora sp.       </v>
      </c>
      <c r="L28" s="218"/>
      <c r="M28" s="218"/>
      <c r="N28" s="218"/>
      <c r="O28" s="203"/>
      <c r="P28" s="204" t="n">
        <f aca="false">IF(ISTEXT(H28),"",(B28*$B$7/100)+(C28*$C$7/100))</f>
        <v>0.0009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12</v>
      </c>
      <c r="S28" s="205" t="n">
        <f aca="false">IF(ISERROR(Q28*I28*J28),0,Q28*I28*J28)</f>
        <v>12</v>
      </c>
      <c r="T28" s="219" t="n">
        <f aca="false">IF(ISERROR(Q28*J28),0,Q28*J28)</f>
        <v>1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TETSPX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74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80</v>
      </c>
      <c r="B29" s="211" t="n">
        <v>0.5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Tribonema sp.</v>
      </c>
      <c r="E29" s="213" t="e">
        <f aca="false">IF(D29="",,VLOOKUP(D29,D$22:D28,1,0))</f>
        <v>#N/A</v>
      </c>
      <c r="F29" s="214" t="n">
        <f aca="false">($B29*$B$7+$C29*$C$7)/100</f>
        <v>0.5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ALG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2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11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Tribonema sp.</v>
      </c>
      <c r="L29" s="218"/>
      <c r="M29" s="218"/>
      <c r="N29" s="218"/>
      <c r="O29" s="203" t="s">
        <v>81</v>
      </c>
      <c r="P29" s="204" t="n">
        <f aca="false">IF(ISTEXT(H29),"",(B29*$B$7/100)+(C29*$C$7/100))</f>
        <v>0.5</v>
      </c>
      <c r="Q29" s="205" t="n">
        <f aca="false">IF(OR(ISTEXT(H29),P29=0),"",IF(P29&lt;0.1,1,IF(P29&lt;1,2,IF(P29&lt;10,3,IF(P29&lt;50,4,IF(P29&gt;=50,5,""))))))</f>
        <v>2</v>
      </c>
      <c r="R29" s="205" t="n">
        <f aca="false">IF(ISERROR(Q29*I29),0,Q29*I29)</f>
        <v>22</v>
      </c>
      <c r="S29" s="205" t="n">
        <f aca="false">IF(ISERROR(Q29*I29*J29),0,Q29*I29*J29)</f>
        <v>44</v>
      </c>
      <c r="T29" s="219" t="n">
        <f aca="false">IF(ISERROR(Q29*J29),0,Q29*J29)</f>
        <v>4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TRISPX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81</v>
      </c>
      <c r="Z29" s="208" t="s">
        <v>81</v>
      </c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82</v>
      </c>
      <c r="B30" s="211" t="n">
        <v>0.005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Brachythecium rivulare</v>
      </c>
      <c r="E30" s="213" t="e">
        <f aca="false">IF(D30="",,VLOOKUP(D30,D$22:D29,1,0))</f>
        <v>#N/A</v>
      </c>
      <c r="F30" s="214" t="n">
        <f aca="false">($B30*$B$7+$C30*$C$7)/100</f>
        <v>0.005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15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Brachythecium rivulare</v>
      </c>
      <c r="L30" s="218"/>
      <c r="M30" s="218"/>
      <c r="N30" s="218"/>
      <c r="O30" s="203"/>
      <c r="P30" s="204" t="n">
        <f aca="false">IF(ISTEXT(H30),"",(B30*$B$7/100)+(C30*$C$7/100))</f>
        <v>0.005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15</v>
      </c>
      <c r="S30" s="205" t="n">
        <f aca="false">IF(ISERROR(Q30*I30*J30),0,Q30*I30*J30)</f>
        <v>30</v>
      </c>
      <c r="T30" s="219" t="n">
        <f aca="false">IF(ISERROR(Q30*J30),0,Q30*J30)</f>
        <v>2</v>
      </c>
      <c r="U30" s="206" t="str">
        <f aca="false">IF(AND(A30="",F30=0),"",IF(F30=0,"Il manque le(s) % de rec. !",""))</f>
        <v/>
      </c>
      <c r="V30" s="207"/>
      <c r="W30" s="207"/>
      <c r="X30" s="205" t="str">
        <f aca="false">IF(A30="new.cod","NEW.COD",IF(AND((Y30=""),ISTEXT(A30)),A30,IF(Y30="","",INDEX('[1]liste reference'!$A$7:$A$906,Y30))))</f>
        <v>BRARIV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156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83</v>
      </c>
      <c r="B31" s="211" t="n">
        <v>1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Fontinalis antipyretica</v>
      </c>
      <c r="E31" s="213" t="e">
        <f aca="false">IF(D31="",,VLOOKUP(D31,D$22:D30,1,0))</f>
        <v>#N/A</v>
      </c>
      <c r="F31" s="214" t="n">
        <f aca="false">($B31*$B$7+$C31*$C$7)/100</f>
        <v>1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BRm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5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10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1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Fontinalis antipyretica</v>
      </c>
      <c r="L31" s="218"/>
      <c r="M31" s="218"/>
      <c r="N31" s="218"/>
      <c r="O31" s="203"/>
      <c r="P31" s="204" t="n">
        <f aca="false">IF(ISTEXT(H31),"",(B31*$B$7/100)+(C31*$C$7/100))</f>
        <v>1</v>
      </c>
      <c r="Q31" s="205" t="n">
        <f aca="false">IF(OR(ISTEXT(H31),P31=0),"",IF(P31&lt;0.1,1,IF(P31&lt;1,2,IF(P31&lt;10,3,IF(P31&lt;50,4,IF(P31&gt;=50,5,""))))))</f>
        <v>3</v>
      </c>
      <c r="R31" s="205" t="n">
        <f aca="false">IF(ISERROR(Q31*I31),0,Q31*I31)</f>
        <v>30</v>
      </c>
      <c r="S31" s="205" t="n">
        <f aca="false">IF(ISERROR(Q31*I31*J31),0,Q31*I31*J31)</f>
        <v>30</v>
      </c>
      <c r="T31" s="219" t="n">
        <f aca="false">IF(ISERROR(Q31*J31),0,Q31*J31)</f>
        <v>3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FONANT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211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84</v>
      </c>
      <c r="B32" s="211" t="n">
        <v>0.505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Rhynchostegium riparioides</v>
      </c>
      <c r="E32" s="213" t="e">
        <f aca="false">IF(D32="",,VLOOKUP(D32,D$21:D31,1,0))</f>
        <v>#N/A</v>
      </c>
      <c r="F32" s="214" t="n">
        <f aca="false">($B32*$B$7+$C32*$C$7)/100</f>
        <v>0.505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BRm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5</v>
      </c>
      <c r="I32" s="216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12</v>
      </c>
      <c r="J32" s="200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1</v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Rhynchostegium riparioides</v>
      </c>
      <c r="L32" s="218"/>
      <c r="M32" s="218"/>
      <c r="N32" s="218"/>
      <c r="O32" s="203"/>
      <c r="P32" s="204" t="n">
        <f aca="false">IF(ISTEXT(H32),"",(B32*$B$7/100)+(C32*$C$7/100))</f>
        <v>0.505</v>
      </c>
      <c r="Q32" s="205" t="n">
        <f aca="false">IF(OR(ISTEXT(H32),P32=0),"",IF(P32&lt;0.1,1,IF(P32&lt;1,2,IF(P32&lt;10,3,IF(P32&lt;50,4,IF(P32&gt;=50,5,""))))))</f>
        <v>2</v>
      </c>
      <c r="R32" s="205" t="n">
        <f aca="false">IF(ISERROR(Q32*I32),0,Q32*I32)</f>
        <v>24</v>
      </c>
      <c r="S32" s="205" t="n">
        <f aca="false">IF(ISERROR(Q32*I32*J32),0,Q32*I32*J32)</f>
        <v>24</v>
      </c>
      <c r="T32" s="219" t="n">
        <f aca="false">IF(ISERROR(Q32*J32),0,Q32*J32)</f>
        <v>2</v>
      </c>
      <c r="U32" s="206" t="str">
        <f aca="false">IF(AND(A32="",F32=0),"",IF(F32=0,"Il manque le(s) % de rec. !",""))</f>
        <v/>
      </c>
      <c r="V32" s="207"/>
      <c r="W32" s="222"/>
      <c r="X32" s="205" t="str">
        <f aca="false">IF(A32="new.cod","NEW.COD",IF(AND((Y32=""),ISTEXT(A32)),A32,IF(Y32="","",INDEX('[1]liste reference'!$A$7:$A$906,Y32))))</f>
        <v>RHYRIP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253</v>
      </c>
      <c r="Z32" s="208"/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16</v>
      </c>
      <c r="B33" s="211" t="n">
        <v>1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Ranunculus penicillatus var. penicillatus</v>
      </c>
      <c r="E33" s="213" t="e">
        <f aca="false">IF(D33="",,VLOOKUP(D33,D$22:D32,1,0))</f>
        <v>#N/A</v>
      </c>
      <c r="F33" s="214" t="n">
        <f aca="false">($B33*$B$7+$C33*$C$7)/100</f>
        <v>1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12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1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Ranunculus penicillatus var. penicillatus</v>
      </c>
      <c r="L33" s="218"/>
      <c r="M33" s="218"/>
      <c r="N33" s="218"/>
      <c r="O33" s="203"/>
      <c r="P33" s="204" t="n">
        <f aca="false">IF(ISTEXT(H33),"",(B33*$B$7/100)+(C33*$C$7/100))</f>
        <v>1</v>
      </c>
      <c r="Q33" s="205" t="n">
        <f aca="false">IF(OR(ISTEXT(H33),P33=0),"",IF(P33&lt;0.1,1,IF(P33&lt;1,2,IF(P33&lt;10,3,IF(P33&lt;50,4,IF(P33&gt;=50,5,""))))))</f>
        <v>3</v>
      </c>
      <c r="R33" s="205" t="n">
        <f aca="false">IF(ISERROR(Q33*I33),0,Q33*I33)</f>
        <v>36</v>
      </c>
      <c r="S33" s="205" t="n">
        <f aca="false">IF(ISERROR(Q33*I33*J33),0,Q33*I33*J33)</f>
        <v>36</v>
      </c>
      <c r="T33" s="219" t="n">
        <f aca="false">IF(ISERROR(Q33*J33),0,Q33*J33)</f>
        <v>3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RANPEN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469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85</v>
      </c>
      <c r="B34" s="211" t="n">
        <v>0.001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Mentha longifolia</v>
      </c>
      <c r="E34" s="213" t="e">
        <f aca="false">IF(D34="",,VLOOKUP(D34,D$22:D33,1,0))</f>
        <v>#N/A</v>
      </c>
      <c r="F34" s="223" t="n">
        <f aca="false">($B34*$B$7+$C34*$C$7)/100</f>
        <v>0.001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PHe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8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Mentha longifolia</v>
      </c>
      <c r="L34" s="218"/>
      <c r="M34" s="218"/>
      <c r="N34" s="218"/>
      <c r="O34" s="203"/>
      <c r="P34" s="204" t="n">
        <f aca="false">IF(ISTEXT(H34),"",(B34*$B$7/100)+(C34*$C$7/100))</f>
        <v>0.001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>MENLON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615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86</v>
      </c>
      <c r="B35" s="211" t="n">
        <v>0.001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Phalaris arundinacea</v>
      </c>
      <c r="E35" s="213" t="e">
        <f aca="false">IF(D35="",,VLOOKUP(D35,D$22:D34,1,0))</f>
        <v>#N/A</v>
      </c>
      <c r="F35" s="223" t="n">
        <f aca="false">($B35*$B$7+$C35*$C$7)/100</f>
        <v>0.001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PHe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8</v>
      </c>
      <c r="I35" s="216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10</v>
      </c>
      <c r="J35" s="200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1</v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Phalaris arundinacea</v>
      </c>
      <c r="L35" s="218"/>
      <c r="M35" s="218"/>
      <c r="N35" s="218"/>
      <c r="O35" s="203"/>
      <c r="P35" s="204" t="n">
        <f aca="false">IF(ISTEXT(H35),"",(B35*$B$7/100)+(C35*$C$7/100))</f>
        <v>0.001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10</v>
      </c>
      <c r="S35" s="205" t="n">
        <f aca="false">IF(ISERROR(Q35*I35*J35),0,Q35*I35*J35)</f>
        <v>10</v>
      </c>
      <c r="T35" s="219" t="n">
        <f aca="false">IF(ISERROR(Q35*J35),0,Q35*J35)</f>
        <v>1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>PHAARU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640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W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24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07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IF(D60="",,VLOOKUP(D60,D$22:D53,1,0))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IF(D61="",,VLOOKUP(D61,D$22:D53,1,0))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IF(D63="",,VLOOKUP(D63,D$22:D62,1,0))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21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0"/>
      <c r="M81" s="220"/>
      <c r="N81" s="220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87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Lignon du Velay</v>
      </c>
      <c r="B84" s="244" t="str">
        <f aca="false">C3</f>
        <v>Lignon du Velay à Pont de Lignon</v>
      </c>
      <c r="C84" s="245" t="n">
        <f aca="false">A4</f>
        <v>40773</v>
      </c>
      <c r="D84" s="246" t="n">
        <f aca="false">IF(ISERROR(SUM($S$23:$S$82)/SUM($T$23:$T$82)),"",SUM($S$23:$S$82)/SUM($T$23:$T$82))</f>
        <v>11.8461538461538</v>
      </c>
      <c r="E84" s="247" t="n">
        <f aca="false">N13</f>
        <v>13</v>
      </c>
      <c r="F84" s="244" t="n">
        <f aca="false">N14</f>
        <v>12</v>
      </c>
      <c r="G84" s="244" t="n">
        <f aca="false">N15</f>
        <v>9</v>
      </c>
      <c r="H84" s="244" t="n">
        <f aca="false">N16</f>
        <v>3</v>
      </c>
      <c r="I84" s="244" t="n">
        <f aca="false">N17</f>
        <v>0</v>
      </c>
      <c r="J84" s="248" t="n">
        <f aca="false">N8</f>
        <v>11.4166666666667</v>
      </c>
      <c r="K84" s="246" t="n">
        <f aca="false">N9</f>
        <v>1.92865159365215</v>
      </c>
      <c r="L84" s="247" t="n">
        <f aca="false">N10</f>
        <v>9</v>
      </c>
      <c r="M84" s="247" t="n">
        <f aca="false">N11</f>
        <v>15</v>
      </c>
      <c r="N84" s="246" t="n">
        <f aca="false">O8</f>
        <v>1.25</v>
      </c>
      <c r="O84" s="246" t="n">
        <f aca="false">O9</f>
        <v>0.452267016866645</v>
      </c>
      <c r="P84" s="247" t="n">
        <f aca="false">O10</f>
        <v>1</v>
      </c>
      <c r="Q84" s="247" t="n">
        <f aca="false">O11</f>
        <v>2</v>
      </c>
      <c r="R84" s="249" t="n">
        <f aca="false">F21</f>
        <v>5.16392</v>
      </c>
      <c r="S84" s="247" t="n">
        <f aca="false">K11</f>
        <v>0</v>
      </c>
      <c r="T84" s="247" t="n">
        <f aca="false">K12</f>
        <v>7</v>
      </c>
      <c r="U84" s="247" t="n">
        <f aca="false">K13</f>
        <v>3</v>
      </c>
      <c r="V84" s="250" t="n">
        <f aca="false">K14</f>
        <v>0</v>
      </c>
      <c r="W84" s="251" t="n">
        <f aca="false">K15</f>
        <v>3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88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89</v>
      </c>
      <c r="Q87" s="8"/>
      <c r="R87" s="206" t="n">
        <f aca="false">VLOOKUP(MAX($R$23:$R$82),($R$23:$T$82),1,0)</f>
        <v>36</v>
      </c>
      <c r="S87" s="8"/>
      <c r="T87" s="8"/>
      <c r="U87" s="8"/>
    </row>
    <row r="88" customFormat="false" ht="12.75" hidden="true" customHeight="false" outlineLevel="0" collapsed="false">
      <c r="P88" s="8" t="s">
        <v>90</v>
      </c>
      <c r="Q88" s="8"/>
      <c r="R88" s="206" t="n">
        <f aca="false">VLOOKUP((R87),($R$23:$T$82),2,0)</f>
        <v>36</v>
      </c>
      <c r="S88" s="8"/>
      <c r="T88" s="8"/>
      <c r="U88" s="8"/>
    </row>
    <row r="89" customFormat="false" ht="12.75" hidden="true" customHeight="false" outlineLevel="0" collapsed="false">
      <c r="P89" s="8" t="s">
        <v>91</v>
      </c>
      <c r="Q89" s="8"/>
      <c r="R89" s="206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92</v>
      </c>
      <c r="Q90" s="8"/>
      <c r="R90" s="253" t="n">
        <f aca="false">IF(ISERROR(SUM($S$23:$S$82)/SUM($T$23:$T$82)),"",(SUM($S$23:$S$82)-R88)/(SUM($T$23:$T$82)-R89))</f>
        <v>11.8260869565217</v>
      </c>
      <c r="S90" s="8"/>
    </row>
    <row r="91" customFormat="false" ht="12.75" hidden="true" customHeight="false" outlineLevel="0" collapsed="false">
      <c r="P91" s="205" t="s">
        <v>93</v>
      </c>
      <c r="Q91" s="205"/>
      <c r="R91" s="205" t="str">
        <f aca="false">INDEX('[1]liste reference'!$A$7:$A$906,$S$91)</f>
        <v>RANPEN</v>
      </c>
      <c r="S91" s="8" t="n">
        <f aca="false">IF(ISERROR(MATCH($R$93,'[1]liste reference'!$A$7:$A$906,0)),MATCH($R$93,'[1]liste reference'!$B$7:$B$906,0),(MATCH($R$93,'[1]liste reference'!$A$7:$A$906,0)))</f>
        <v>469</v>
      </c>
      <c r="T91" s="242"/>
    </row>
    <row r="92" customFormat="false" ht="12.75" hidden="true" customHeight="false" outlineLevel="0" collapsed="false">
      <c r="P92" s="8" t="s">
        <v>94</v>
      </c>
      <c r="Q92" s="8"/>
      <c r="R92" s="8" t="n">
        <f aca="false">MATCH(R87,$R$23:$R$82,0)</f>
        <v>11</v>
      </c>
      <c r="S92" s="8"/>
    </row>
    <row r="93" customFormat="false" ht="12.75" hidden="true" customHeight="false" outlineLevel="0" collapsed="false">
      <c r="P93" s="205" t="s">
        <v>95</v>
      </c>
      <c r="Q93" s="8"/>
      <c r="R93" s="205" t="str">
        <f aca="false">INDEX($A$23:$A$82,$R$92)</f>
        <v>RANPEN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2024-03-14T18:40:05Z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