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4100" sheetId="1" state="visible" r:id="rId3"/>
  </sheets>
  <definedNames>
    <definedName function="false" hidden="false" localSheetId="0" name="_xlnm.Print_Area" vbProcedure="false">'04004100'!$A$1:$Q$82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<sst xmlns="http://schemas.openxmlformats.org/spreadsheetml/2006/main" count="175" uniqueCount="111">
  <si>
    <t xml:space="preserve">Relevés floristiques aquatiques - IBMR</t>
  </si>
  <si>
    <t xml:space="preserve">modèle Irstea-GIS</t>
  </si>
  <si>
    <t xml:space="preserve">AQUABIO</t>
  </si>
  <si>
    <t xml:space="preserve">Aurélie JOSSET, Laetitia BLANCHARD</t>
  </si>
  <si>
    <t xml:space="preserve">la Loire</t>
  </si>
  <si>
    <t xml:space="preserve">LOIRE À MALVALETTE</t>
  </si>
  <si>
    <t xml:space="preserve">04004100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</si>
  <si>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</si>
  <si>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</si>
  <si>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</si>
  <si>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</si>
  <si>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</si>
  <si>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</si>
  <si>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</si>
  <si>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</si>
  <si>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</si>
  <si>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</si>
  <si>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</si>
  <si>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radier</t>
  </si>
  <si>
    <t xml:space="preserve">ch. lotique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</si>
  <si>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</si>
  <si>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</si>
  <si>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</si>
  <si>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</si>
  <si>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</si>
  <si>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</si>
  <si>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</si>
  <si>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</si>
  <si>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</si>
  <si>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</si>
  <si>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</si>
  <si>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</si>
  <si>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</si>
  <si>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</si>
  <si>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</si>
  <si>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</si>
  <si>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</si>
  <si>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</si>
  <si>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</si>
  <si>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</si>
  <si>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</si>
  <si>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</si>
  <si>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</si>
  <si>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</si>
  <si>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</si>
  <si>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</si>
  <si>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</si>
  <si>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</si>
  <si>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</si>
  <si>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</si>
  <si>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</si>
  <si>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</si>
  <si>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</si>
  <si>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</si>
  <si>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</si>
  <si>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</si>
  <si>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</si>
  <si>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</si>
  <si>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</si>
  <si>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</si>
  <si>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</si>
  <si>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</si>
  <si>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</si>
  <si>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</si>
  <si>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</si>
  <si>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</si>
  <si>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</si>
  <si>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</si>
  <si>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</si>
  <si>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</si>
  <si>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</si>
  <si>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</si>
  <si>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</si>
  <si>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</si>
  <si>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</si>
  <si>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</si>
  <si>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</si>
  <si>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</si>
  <si>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CLASPX</t>
  </si>
  <si>
    <t xml:space="preserve"> -</t>
  </si>
  <si>
    <t xml:space="preserve">OEDSPX</t>
  </si>
  <si>
    <t xml:space="preserve">FISFON</t>
  </si>
  <si>
    <t xml:space="preserve">POTCRI</t>
  </si>
  <si>
    <t xml:space="preserve">MYRSPI</t>
  </si>
  <si>
    <t xml:space="preserve">PERHYD</t>
  </si>
  <si>
    <t xml:space="preserve">FONANT</t>
  </si>
  <si>
    <t xml:space="preserve">IRIPSE</t>
  </si>
  <si>
    <t xml:space="preserve">LEMMIN</t>
  </si>
  <si>
    <t xml:space="preserve">LYNSPX</t>
  </si>
  <si>
    <t xml:space="preserve">PHAARU</t>
  </si>
  <si>
    <t xml:space="preserve">SPISPX</t>
  </si>
  <si>
    <t xml:space="preserve">ELEPAL</t>
  </si>
  <si>
    <t xml:space="preserve">RHYRIP</t>
  </si>
  <si>
    <t xml:space="preserve">TETSPX</t>
  </si>
  <si>
    <t xml:space="preserve">PHOSPX</t>
  </si>
  <si>
    <t xml:space="preserve">RANPEC</t>
  </si>
  <si>
    <t xml:space="preserve">STISPX</t>
  </si>
  <si>
    <t xml:space="preserve">CARELA</t>
  </si>
  <si>
    <t xml:space="preserve">cf.</t>
  </si>
  <si>
    <t xml:space="preserve">LEMMIT</t>
  </si>
  <si>
    <t xml:space="preserve">PAASPX</t>
  </si>
  <si>
    <t xml:space="preserve">NEWCOD</t>
  </si>
  <si>
    <t xml:space="preserve">Cyanophyceae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</si>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</sst>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4</v>
      </c>
      <c r="B3" s="11"/>
      <c r="C3" s="10" t="s">
        <v>5</v>
      </c>
      <c r="D3" s="21"/>
      <c r="E3" s="21"/>
      <c r="F3" s="22"/>
      <c r="G3" s="22"/>
      <c r="H3" s="21"/>
      <c r="I3" s="6"/>
      <c r="J3" s="13"/>
      <c r="K3" s="23"/>
      <c r="L3" s="24" t="s">
        <v>6</v>
      </c>
      <c r="M3" s="25"/>
      <c r="N3" s="26" t="s">
        <v>7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8</v>
      </c>
      <c r="B4" s="30" t="n">
        <v>42201</v>
      </c>
      <c r="C4" s="31"/>
      <c r="D4" s="21"/>
      <c r="E4" s="21"/>
      <c r="F4" s="31"/>
      <c r="G4" s="32"/>
      <c r="H4" s="21"/>
      <c r="I4" s="6"/>
      <c r="J4" s="33" t="s">
        <v>9</v>
      </c>
      <c r="K4" s="34"/>
      <c r="L4" s="34"/>
      <c r="M4" s="35"/>
      <c r="N4" s="35"/>
      <c r="O4" s="36" t="s">
        <v>10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11</v>
      </c>
      <c r="B5" s="39" t="s">
        <v>12</v>
      </c>
      <c r="C5" s="40" t="s">
        <v>13</v>
      </c>
      <c r="D5" s="41"/>
      <c r="E5" s="41"/>
      <c r="F5" s="42" t="s">
        <v>14</v>
      </c>
      <c r="G5" s="43"/>
      <c r="H5" s="41"/>
      <c r="I5" s="6"/>
      <c r="J5" s="44"/>
      <c r="K5" s="45"/>
      <c r="L5" s="46" t="s">
        <v>15</v>
      </c>
      <c r="M5" s="47" t="n">
        <v>10.6470588235294</v>
      </c>
      <c r="N5" s="48"/>
      <c r="O5" s="49" t="s">
        <v>16</v>
      </c>
      <c r="P5" s="50" t="n">
        <v>10.0666666666667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17</v>
      </c>
      <c r="B6" s="52" t="s">
        <v>18</v>
      </c>
      <c r="C6" s="53" t="s">
        <v>19</v>
      </c>
      <c r="D6" s="54"/>
      <c r="E6" s="54"/>
      <c r="F6" s="55"/>
      <c r="G6" s="43"/>
      <c r="H6" s="41"/>
      <c r="I6" s="6"/>
      <c r="J6" s="56"/>
      <c r="K6" s="57"/>
      <c r="L6" s="58" t="s">
        <v>20</v>
      </c>
      <c r="M6" s="59" t="s">
        <v>21</v>
      </c>
      <c r="N6" s="60"/>
      <c r="O6" s="61" t="n">
        <v>4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43</v>
      </c>
      <c r="C7" s="66" t="n">
        <v>57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 t="n">
        <v>25</v>
      </c>
      <c r="C9" s="66" t="n">
        <v>30</v>
      </c>
      <c r="D9" s="82"/>
      <c r="E9" s="82"/>
      <c r="F9" s="83" t="n">
        <f aca="false">($B9*$B$7+$C9*$C$7)/100</f>
        <v>27.85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23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SUM(B23:B62)</f>
        <v>30.2300002649426</v>
      </c>
      <c r="C20" s="155" t="n">
        <f aca="false">SUM(C23:C62)</f>
        <v>26.6199897490442</v>
      </c>
      <c r="D20" s="156"/>
      <c r="E20" s="157" t="s">
        <v>53</v>
      </c>
      <c r="F20" s="158" t="n">
        <f aca="false">($B20*$B$7+$C20*$C$7)/100</f>
        <v>28.1722942708805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12.9989001139253</v>
      </c>
      <c r="C21" s="166" t="n">
        <f aca="false">C20*C7/100</f>
        <v>15.1733941569552</v>
      </c>
      <c r="D21" s="167" t="s">
        <v>56</v>
      </c>
      <c r="E21" s="168"/>
      <c r="F21" s="169" t="n">
        <f aca="false">B21+C21</f>
        <v>28.1722942708805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78</v>
      </c>
      <c r="B23" s="194" t="n">
        <v>16.0100002288818</v>
      </c>
      <c r="C23" s="195" t="n">
        <v>0.109999999403954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6.94700009807944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79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CLASPX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80</v>
      </c>
      <c r="B24" s="211" t="n">
        <v>0.00999999977648258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0.00999999977648258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79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OEDSPX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81</v>
      </c>
      <c r="B25" s="211" t="n">
        <v>0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0.00569999987259507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79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FISFON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82</v>
      </c>
      <c r="B26" s="211" t="n">
        <v>0.00999999977648258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0.00999999977648258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79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POTCRI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83</v>
      </c>
      <c r="B27" s="211" t="n">
        <v>0.200000002980232</v>
      </c>
      <c r="C27" s="212" t="n">
        <v>0.100000001490116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0.143000002130866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79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MYRSPI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84</v>
      </c>
      <c r="B28" s="211" t="n">
        <v>0.00999999977648258</v>
      </c>
      <c r="C28" s="212" t="n">
        <v>0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0.00429999990388751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79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PERHYD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85</v>
      </c>
      <c r="B29" s="211" t="n">
        <v>0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0.00569999987259507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79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FONANT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86</v>
      </c>
      <c r="B30" s="211" t="n">
        <v>0.00999999977648258</v>
      </c>
      <c r="C30" s="212" t="n">
        <v>0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0.00429999990388751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79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IRIPSE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87</v>
      </c>
      <c r="B31" s="211" t="n">
        <v>0.00999999977648258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0.00999999977648258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79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LEMMIN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88</v>
      </c>
      <c r="B32" s="211" t="n">
        <v>0</v>
      </c>
      <c r="C32" s="212" t="n">
        <v>3.63635993003845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2.07272516012192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79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LYNSPX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89</v>
      </c>
      <c r="B33" s="211" t="n">
        <v>0.00999999977648258</v>
      </c>
      <c r="C33" s="212" t="n">
        <v>0.00999999977648258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0.00999999977648258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79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PHAARU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90</v>
      </c>
      <c r="B34" s="211" t="n">
        <v>0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0.00569999987259507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79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SPISPX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91</v>
      </c>
      <c r="B35" s="211" t="n">
        <v>0.00999999977648258</v>
      </c>
      <c r="C35" s="212" t="n">
        <v>0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0.00429999990388751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79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ELEPAL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92</v>
      </c>
      <c r="B36" s="211" t="n">
        <v>0</v>
      </c>
      <c r="C36" s="212" t="n">
        <v>0.109999999403954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0.0626999996602535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79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RHYRIP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93</v>
      </c>
      <c r="B37" s="211" t="n">
        <v>0.00999999977648258</v>
      </c>
      <c r="C37" s="212" t="n">
        <v>0.100000001490116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0.0613000007532537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79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TETSPX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94</v>
      </c>
      <c r="B38" s="211" t="n">
        <v>0.150000005960464</v>
      </c>
      <c r="C38" s="212" t="n">
        <v>3.63635993003845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2.13722516268492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79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PHOSPX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95</v>
      </c>
      <c r="B39" s="211" t="n">
        <v>13</v>
      </c>
      <c r="C39" s="212" t="n">
        <v>7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9.58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79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RANPEC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96</v>
      </c>
      <c r="B40" s="211" t="n">
        <v>0.00999999977648258</v>
      </c>
      <c r="C40" s="212" t="n">
        <v>0.00999999977648258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0.00999999977648258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79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STISPX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16</v>
      </c>
      <c r="B41" s="211" t="n">
        <v>0.600000023841858</v>
      </c>
      <c r="C41" s="212" t="n">
        <v>9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5.388000010252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79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HILSPX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 t="s">
        <v>97</v>
      </c>
      <c r="B42" s="211" t="n">
        <v>0.00999999977648258</v>
      </c>
      <c r="C42" s="212" t="n">
        <v>0.00999999977648258</v>
      </c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n">
        <f aca="false">IF(AND(OR(A42="",A42="!!!!!!"),B42="",C42=""),"",IF(OR(AND(B42="",C42=""),ISERROR(C42+B42)),"!!!",($B42*$B$7+$C42*$C$7)/100))</f>
        <v>0.00999999977648258</v>
      </c>
      <c r="G42" s="216" t="str">
        <f aca="false">IF(A42="","",IF(ISERROR(VLOOKUP($A42,,9,0)),IF(ISERROR(VLOOKUP($A42,,8,0)),"    -",VLOOKUP($A42,,8,0)),VLOOKUP($A42,,9,0)))</f>
        <v>    -</v>
      </c>
      <c r="H42" s="217" t="str">
        <f aca="false">IF(A42="","x",IF(ISERROR(VLOOKUP($A42,,10,0)),IF(ISERROR(VLOOKUP($A42,,9,0)),"x",VLOOKUP($A42,,9,0)),VLOOKUP($A42,,10,0)))</f>
        <v>x</v>
      </c>
      <c r="I42" s="6" t="n">
        <f aca="false">IF(A42="","",1)</f>
        <v>1</v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>non répertorié ou synonyme. Vérifiez !</v>
      </c>
      <c r="M42" s="219"/>
      <c r="N42" s="219"/>
      <c r="O42" s="219"/>
      <c r="P42" s="220" t="s">
        <v>98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>CARELA</v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 t="s">
        <v>99</v>
      </c>
      <c r="B43" s="211" t="n">
        <v>0.00999999977648258</v>
      </c>
      <c r="C43" s="212" t="n">
        <v>0.00999999977648258</v>
      </c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n">
        <f aca="false">IF(AND(OR(A43="",A43="!!!!!!"),B43="",C43=""),"",IF(OR(AND(B43="",C43=""),ISERROR(C43+B43)),"!!!",($B43*$B$7+$C43*$C$7)/100))</f>
        <v>0.00999999977648258</v>
      </c>
      <c r="G43" s="216" t="str">
        <f aca="false">IF(A43="","",IF(ISERROR(VLOOKUP($A43,,9,0)),IF(ISERROR(VLOOKUP($A43,,8,0)),"    -",VLOOKUP($A43,,8,0)),VLOOKUP($A43,,9,0)))</f>
        <v>    -</v>
      </c>
      <c r="H43" s="217" t="str">
        <f aca="false">IF(A43="","x",IF(ISERROR(VLOOKUP($A43,,10,0)),IF(ISERROR(VLOOKUP($A43,,9,0)),"x",VLOOKUP($A43,,9,0)),VLOOKUP($A43,,10,0)))</f>
        <v>x</v>
      </c>
      <c r="I43" s="6" t="n">
        <f aca="false">IF(A43="","",1)</f>
        <v>1</v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>non répertorié ou synonyme. Vérifiez !</v>
      </c>
      <c r="M43" s="219"/>
      <c r="N43" s="219"/>
      <c r="O43" s="219"/>
      <c r="P43" s="220" t="s">
        <v>79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>LEMMIT</v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 t="s">
        <v>100</v>
      </c>
      <c r="B44" s="211" t="n">
        <v>0.00999999977648258</v>
      </c>
      <c r="C44" s="212" t="n">
        <v>0.100000001490116</v>
      </c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n">
        <f aca="false">IF(AND(OR(A44="",A44="!!!!!!"),B44="",C44=""),"",IF(OR(AND(B44="",C44=""),ISERROR(C44+B44)),"!!!",($B44*$B$7+$C44*$C$7)/100))</f>
        <v>0.0613000007532537</v>
      </c>
      <c r="G44" s="216" t="str">
        <f aca="false">IF(A44="","",IF(ISERROR(VLOOKUP($A44,,9,0)),IF(ISERROR(VLOOKUP($A44,,8,0)),"    -",VLOOKUP($A44,,8,0)),VLOOKUP($A44,,9,0)))</f>
        <v>    -</v>
      </c>
      <c r="H44" s="217" t="str">
        <f aca="false">IF(A44="","x",IF(ISERROR(VLOOKUP($A44,,10,0)),IF(ISERROR(VLOOKUP($A44,,9,0)),"x",VLOOKUP($A44,,9,0)),VLOOKUP($A44,,10,0)))</f>
        <v>x</v>
      </c>
      <c r="I44" s="6" t="n">
        <f aca="false">IF(A44="","",1)</f>
        <v>1</v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>non répertorié ou synonyme. Vérifiez !</v>
      </c>
      <c r="M44" s="219"/>
      <c r="N44" s="219"/>
      <c r="O44" s="219"/>
      <c r="P44" s="220" t="s">
        <v>79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>PAASPX</v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 t="s">
        <v>101</v>
      </c>
      <c r="B45" s="211" t="n">
        <v>0.150000005960464</v>
      </c>
      <c r="C45" s="212" t="n">
        <v>2.72726988792419</v>
      </c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n">
        <f aca="false">IF(AND(OR(A45="",A45="!!!!!!"),B45="",C45=""),"",IF(OR(AND(B45="",C45=""),ISERROR(C45+B45)),"!!!",($B45*$B$7+$C45*$C$7)/100))</f>
        <v>1.61904383867979</v>
      </c>
      <c r="G45" s="216" t="str">
        <f aca="false">IF(A45="","",IF(ISERROR(VLOOKUP($A45,,9,0)),IF(ISERROR(VLOOKUP($A45,,8,0)),"    -",VLOOKUP($A45,,8,0)),VLOOKUP($A45,,9,0)))</f>
        <v>    -</v>
      </c>
      <c r="H45" s="217" t="str">
        <f aca="false">IF(A45="","x",IF(ISERROR(VLOOKUP($A45,,10,0)),IF(ISERROR(VLOOKUP($A45,,9,0)),"x",VLOOKUP($A45,,9,0)),VLOOKUP($A45,,10,0)))</f>
        <v>x</v>
      </c>
      <c r="I45" s="6" t="n">
        <f aca="false">IF(A45="","",1)</f>
        <v>1</v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>Cyanophyceae</v>
      </c>
      <c r="M45" s="219"/>
      <c r="N45" s="219"/>
      <c r="O45" s="219"/>
      <c r="P45" s="220" t="s">
        <v>79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>NoCod</v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 t="s">
        <v>102</v>
      </c>
      <c r="X45" s="224"/>
      <c r="Y45" s="207" t="str">
        <f aca="false">IF(AND(ISNUMBER(F45),OR(A45="",A45="!!!!!!")),"!!!!!!",IF(A45="new.cod","NEWCOD",IF(AND((Z45=""),ISTEXT(A45),A45&lt;&gt;"!!!!!!"),A45,IF(Z45="","",INDEX(,Z45)))))</f>
        <v>NEWCOD</v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79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79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79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79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79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79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79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79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79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79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79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79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79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79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79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79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tru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79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tru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79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tru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79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79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79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79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79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79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79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79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79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79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79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79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79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79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79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79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79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79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79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28.1722942708805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Loire</v>
      </c>
      <c r="B84" s="175" t="str">
        <f aca="false">C3</f>
        <v>LOIRE À MALVALETTE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23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28.1722942708805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103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104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105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106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107</v>
      </c>
      <c r="S90" s="6" t="s">
        <v>10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108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109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110</v>
      </c>
      <c r="S93" s="6"/>
      <c r="T93" s="207" t="str">
        <f aca="false">INDEX($A$23:$A$82,$T$92)</f>
        <v>CLASPX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2024-04-17T19:34:26Z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