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11100" sheetId="1" state="visible" r:id="rId3"/>
  </sheets>
  <externalReferences>
    <externalReference r:id="rId4"/>
  </externalReferences>
  <definedNames>
    <definedName function="false" hidden="false" localSheetId="0" name="_xlnm.Print_Area" vbProcedure="false">'04011100'!$A$1:$O$82</definedName>
    <definedName function="false" hidden="false" localSheetId="0" name="Excel_BuiltIn__FilterDatabase" vbProcedure="false">'04011100'!$A$23:$J$84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<sst xmlns="http://schemas.openxmlformats.org/spreadsheetml/2006/main" count="102" uniqueCount="98">
  <si>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</si>
  <si>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GIS Macrophytes - juillet 2006</t>
  </si>
  <si>
    <t xml:space="preserve">AQUASCOP</t>
  </si>
  <si>
    <t xml:space="preserve">Aurélia MARQUIS-Antoine ROBE</t>
  </si>
  <si>
    <t xml:space="preserve">conforme AFNOR T90-395 oct. 2003</t>
  </si>
  <si>
    <t xml:space="preserve">LIGNON DU FOREZ</t>
  </si>
  <si>
    <t xml:space="preserve">Cleppe</t>
  </si>
  <si>
    <t xml:space="preserve">04011100</t>
  </si>
  <si>
    <t xml:space="preserve">RCS </t>
  </si>
  <si>
    <t xml:space="preserve">Résultats</t>
  </si>
  <si>
    <t xml:space="preserve">Robustesse:</t>
  </si>
  <si>
    <t xml:space="preserve">F. courant</t>
  </si>
  <si>
    <t xml:space="preserve">F. lent</t>
  </si>
  <si>
    <t xml:space="preserve">station</t>
  </si>
  <si>
    <t xml:space="preserve">IBMR:</t>
  </si>
  <si>
    <t xml:space="preserve">MEL.SPX</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</si>
  <si>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</si>
  <si>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</si>
  <si>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</si>
  <si>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</si>
  <si>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</si>
  <si>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</si>
  <si>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</si>
  <si>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</si>
  <si>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</si>
  <si>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</si>
  <si>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</si>
  <si>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</si>
  <si>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</si>
  <si>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</si>
  <si>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</si>
  <si>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</si>
  <si>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</si>
  <si>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</si>
  <si>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</si>
  <si>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</si>
  <si>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</si>
  <si>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</si>
  <si>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</si>
  <si>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</si>
  <si>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</si>
  <si>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</si>
  <si>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</si>
  <si>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</si>
  <si>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</si>
  <si>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</si>
  <si>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</si>
  <si>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</si>
  <si>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</si>
  <si>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</si>
  <si>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</si>
  <si>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</si>
  <si>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</si>
  <si>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</si>
  <si>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</si>
  <si>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</si>
  <si>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</si>
  <si>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</si>
  <si>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</si>
  <si>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</si>
  <si>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</si>
  <si>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</si>
  <si>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</si>
  <si>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</si>
  <si>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</si>
  <si>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</si>
  <si>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</si>
  <si>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</si>
  <si>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</si>
  <si>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</si>
  <si>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</si>
  <si>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</si>
  <si>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</si>
  <si>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</si>
  <si>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</si>
  <si>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DIA.SPX</t>
  </si>
  <si>
    <t xml:space="preserve">LEA.SPX</t>
  </si>
  <si>
    <t xml:space="preserve">OED.SPX</t>
  </si>
  <si>
    <t xml:space="preserve">OSC.SPX</t>
  </si>
  <si>
    <t xml:space="preserve">PHO.SPX</t>
  </si>
  <si>
    <t xml:space="preserve">SPI.SPX</t>
  </si>
  <si>
    <t xml:space="preserve">STI.TEN</t>
  </si>
  <si>
    <t xml:space="preserve">VAU.SPX</t>
  </si>
  <si>
    <t xml:space="preserve">AMB.RIP</t>
  </si>
  <si>
    <t xml:space="preserve">FON.ANT</t>
  </si>
  <si>
    <t xml:space="preserve">OCT.FON</t>
  </si>
  <si>
    <t xml:space="preserve">AGR.STO</t>
  </si>
  <si>
    <t xml:space="preserve">LYT.SAL</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</si>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</sst>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8">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0_Mphyt_AQUASCOP_RCS_AELB_Calculs__IBMR_2010_DREAL_RA_valides.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04009050"/>
      <sheetName val="04010000"/>
      <sheetName val="04010780"/>
      <sheetName val="04011100"/>
      <sheetName val="04011300"/>
      <sheetName val="04011700"/>
      <sheetName val="04012200"/>
      <sheetName val="04013975"/>
      <sheetName val="04015000"/>
      <sheetName val="04015300"/>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40413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8.77777777777778</v>
      </c>
      <c r="M5" s="51"/>
      <c r="N5" s="52" t="s">
        <v>15</v>
      </c>
      <c r="O5" s="53" t="n">
        <v>8.68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45</v>
      </c>
      <c r="C7" s="65" t="n">
        <v>55</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9.13333333333333</v>
      </c>
      <c r="O8" s="82" t="n">
        <f aca="false">AVERAGE(J23:J82)</f>
        <v>1.66666666666667</v>
      </c>
      <c r="P8" s="8"/>
      <c r="Q8" s="8"/>
      <c r="R8" s="8"/>
      <c r="S8" s="8"/>
      <c r="T8" s="8"/>
      <c r="U8" s="8"/>
      <c r="V8" s="20"/>
      <c r="W8" s="21"/>
    </row>
    <row r="9" customFormat="false" ht="12.75" hidden="false" customHeight="false" outlineLevel="0" collapsed="false">
      <c r="A9" s="83" t="s">
        <v>28</v>
      </c>
      <c r="B9" s="84" t="n">
        <v>0.36</v>
      </c>
      <c r="C9" s="85" t="n">
        <v>1.145</v>
      </c>
      <c r="D9" s="86"/>
      <c r="E9" s="86"/>
      <c r="F9" s="87" t="n">
        <f aca="false">($B9*$B$7+$C9*$C$7)/100</f>
        <v>0.79175</v>
      </c>
      <c r="G9" s="88"/>
      <c r="H9" s="89"/>
      <c r="I9" s="90"/>
      <c r="J9" s="91"/>
      <c r="K9" s="71"/>
      <c r="L9" s="92"/>
      <c r="M9" s="80" t="s">
        <v>29</v>
      </c>
      <c r="N9" s="81" t="n">
        <f aca="false">STDEV(I23:I82)</f>
        <v>3.81475830851457</v>
      </c>
      <c r="O9" s="82" t="n">
        <f aca="false">STDEV(J23:J82)</f>
        <v>0.723746864455746</v>
      </c>
      <c r="P9" s="8"/>
      <c r="Q9" s="8"/>
      <c r="R9" s="8"/>
      <c r="S9" s="8"/>
      <c r="T9" s="8"/>
      <c r="U9" s="8"/>
      <c r="V9" s="93"/>
      <c r="W9" s="94"/>
    </row>
    <row r="10" customFormat="false" ht="12.75" hidden="false" customHeight="false" outlineLevel="0" collapsed="false">
      <c r="A10" s="95" t="s">
        <v>30</v>
      </c>
      <c r="B10" s="96" t="n">
        <v>35</v>
      </c>
      <c r="C10" s="97" t="n">
        <v>30</v>
      </c>
      <c r="D10" s="98"/>
      <c r="E10" s="98"/>
      <c r="F10" s="87" t="n">
        <f aca="false">($B10*$B$7+$C10*$C$7)/100</f>
        <v>32.25</v>
      </c>
      <c r="G10" s="88"/>
      <c r="H10" s="99"/>
      <c r="I10" s="100"/>
      <c r="J10" s="101" t="s">
        <v>31</v>
      </c>
      <c r="K10" s="101"/>
      <c r="L10" s="102"/>
      <c r="M10" s="103" t="s">
        <v>32</v>
      </c>
      <c r="N10" s="104" t="n">
        <f aca="false">MIN(I23:I82)</f>
        <v>1</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0.03</v>
      </c>
      <c r="C12" s="117" t="n">
        <v>0.925</v>
      </c>
      <c r="D12" s="109"/>
      <c r="E12" s="109"/>
      <c r="F12" s="110" t="n">
        <f aca="false">($B12*$B$7+$C12*$C$7)/100</f>
        <v>0.52225</v>
      </c>
      <c r="G12" s="118"/>
      <c r="H12" s="66"/>
      <c r="I12" s="119" t="s">
        <v>37</v>
      </c>
      <c r="J12" s="119"/>
      <c r="K12" s="113" t="n">
        <f aca="false">COUNTIF($G$23:$G$82,"=ALG")</f>
        <v>10</v>
      </c>
      <c r="L12" s="120"/>
      <c r="M12" s="121"/>
      <c r="N12" s="122" t="s">
        <v>31</v>
      </c>
      <c r="O12" s="123"/>
      <c r="P12" s="8"/>
      <c r="Q12" s="8"/>
      <c r="R12" s="8"/>
      <c r="S12" s="8"/>
      <c r="T12" s="8"/>
      <c r="U12" s="8"/>
    </row>
    <row r="13" customFormat="false" ht="12.75" hidden="false" customHeight="false" outlineLevel="0" collapsed="false">
      <c r="A13" s="115" t="s">
        <v>38</v>
      </c>
      <c r="B13" s="116" t="n">
        <v>0.23</v>
      </c>
      <c r="C13" s="117" t="n">
        <v>0.11</v>
      </c>
      <c r="D13" s="109"/>
      <c r="E13" s="109"/>
      <c r="F13" s="110" t="n">
        <f aca="false">($B13*$B$7+$C13*$C$7)/100</f>
        <v>0.164</v>
      </c>
      <c r="G13" s="118"/>
      <c r="H13" s="66"/>
      <c r="I13" s="119" t="s">
        <v>39</v>
      </c>
      <c r="J13" s="119"/>
      <c r="K13" s="113" t="n">
        <f aca="false">COUNTIF($G$23:$G$82,"=BRm")+COUNTIF($G$23:$G$82,"=BRh")</f>
        <v>3</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15</v>
      </c>
      <c r="O14" s="129"/>
      <c r="P14" s="8"/>
      <c r="Q14" s="8"/>
      <c r="R14" s="8"/>
      <c r="S14" s="8"/>
      <c r="T14" s="8"/>
      <c r="U14" s="8"/>
    </row>
    <row r="15" customFormat="false" ht="12.75" hidden="false" customHeight="false" outlineLevel="0" collapsed="false">
      <c r="A15" s="130" t="s">
        <v>44</v>
      </c>
      <c r="B15" s="131" t="n">
        <v>0.1</v>
      </c>
      <c r="C15" s="132" t="n">
        <v>0.11</v>
      </c>
      <c r="D15" s="109"/>
      <c r="E15" s="109"/>
      <c r="F15" s="110" t="n">
        <f aca="false">($B15*$B$7+$C15*$C$7)/100</f>
        <v>0.1055</v>
      </c>
      <c r="G15" s="118"/>
      <c r="H15" s="66"/>
      <c r="I15" s="119" t="s">
        <v>45</v>
      </c>
      <c r="J15" s="119"/>
      <c r="K15" s="113" t="n">
        <f aca="false">(COUNTIF($G$23:$G$82,"=PHy"))+(COUNTIF($G$23:$G$82,"=PHe"))+(COUNTIF($G$23:$G$82,"=PHg"))+(COUNTIF($G$23:$G$82,"=PHx"))</f>
        <v>3</v>
      </c>
      <c r="L15" s="114"/>
      <c r="M15" s="133" t="s">
        <v>46</v>
      </c>
      <c r="N15" s="134" t="n">
        <f aca="false">COUNTIF(J23:J82,"=1")</f>
        <v>7</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0.26</v>
      </c>
      <c r="C17" s="117" t="n">
        <v>1.035</v>
      </c>
      <c r="D17" s="109"/>
      <c r="E17" s="109"/>
      <c r="F17" s="139"/>
      <c r="G17" s="110" t="n">
        <f aca="false">($B17*$B$7+$C17*$C$7)/100</f>
        <v>0.68625</v>
      </c>
      <c r="H17" s="66"/>
      <c r="I17" s="119"/>
      <c r="J17" s="119"/>
      <c r="K17" s="138"/>
      <c r="L17" s="114"/>
      <c r="M17" s="133" t="s">
        <v>50</v>
      </c>
      <c r="N17" s="134" t="n">
        <f aca="false">COUNTIF(J23:J82,"=3")</f>
        <v>2</v>
      </c>
      <c r="O17" s="135"/>
      <c r="P17" s="8"/>
      <c r="Q17" s="8"/>
      <c r="R17" s="8"/>
      <c r="S17" s="8"/>
      <c r="T17" s="8"/>
      <c r="U17" s="8"/>
    </row>
    <row r="18" customFormat="false" ht="12.75" hidden="false" customHeight="false" outlineLevel="0" collapsed="false">
      <c r="A18" s="140" t="s">
        <v>51</v>
      </c>
      <c r="B18" s="141" t="n">
        <v>0.1</v>
      </c>
      <c r="C18" s="142" t="n">
        <v>0.11</v>
      </c>
      <c r="D18" s="109"/>
      <c r="E18" s="143" t="s">
        <v>52</v>
      </c>
      <c r="F18" s="139"/>
      <c r="G18" s="110" t="n">
        <f aca="false">($B18*$B$7+$C18*$C$7)/100</f>
        <v>0.1055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0.79175</v>
      </c>
      <c r="G19" s="151" t="n">
        <f aca="false">SUM(G16:G18)</f>
        <v>0.79175</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0.36</v>
      </c>
      <c r="C20" s="160" t="n">
        <f aca="false">SUM(C23:C82)</f>
        <v>1.145</v>
      </c>
      <c r="D20" s="161"/>
      <c r="E20" s="162" t="s">
        <v>52</v>
      </c>
      <c r="F20" s="163" t="n">
        <f aca="false">($B20*$B$7+$C20*$C$7)/100</f>
        <v>0.79175</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0.162</v>
      </c>
      <c r="C21" s="172" t="n">
        <f aca="false">C20*C7/100</f>
        <v>0.62975</v>
      </c>
      <c r="D21" s="109" t="str">
        <f aca="false">IF(F21=0,"",IF((ABS(F21-F19))&gt;(0.2*F21),CONCATENATE(" rec. par taxa (",F21," %) supérieur à 20 % !"),""))</f>
        <v/>
      </c>
      <c r="E21" s="173" t="str">
        <f aca="false">IF(F21=0,"",IF((ABS(F21-F19))&gt;(0.2*F21),CONCATENATE("ATTENTION : écart entre rec. par grp (",F19," %) ","et",""),""))</f>
        <v/>
      </c>
      <c r="F21" s="174" t="n">
        <f aca="false">B21+C21</f>
        <v>0.79175</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0.00225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0.00225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75</v>
      </c>
      <c r="B24" s="213" t="n">
        <v>0.005</v>
      </c>
      <c r="C24" s="214"/>
      <c r="D24" s="215" t="str">
        <f aca="false">IF(ISERROR(VLOOKUP($A24,'[1]liste reference'!$A$7:$D$906,2,0)),IF(ISERROR(VLOOKUP($A24,'[1]liste reference'!$B$7:$D$906,1,0)),"",VLOOKUP($A24,'[1]liste reference'!$B$7:$D$906,1,0)),VLOOKUP($A24,'[1]liste reference'!$A$7:$D$906,2,0))</f>
        <v>Diatoma sp.</v>
      </c>
      <c r="E24" s="215" t="e">
        <f aca="false">IF(D24="",0,VLOOKUP(D24,D$22:D23,1,0))</f>
        <v>#N/A</v>
      </c>
      <c r="F24" s="216" t="n">
        <f aca="false">($B24*$B$7+$C24*$C$7)/100</f>
        <v>0.00225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12</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Diatoma sp.</v>
      </c>
      <c r="L24" s="220"/>
      <c r="M24" s="220"/>
      <c r="N24" s="220"/>
      <c r="O24" s="205"/>
      <c r="P24" s="206" t="n">
        <f aca="false">IF(ISTEXT(H24),"",(B24*$B$7/100)+(C24*$C$7/100))</f>
        <v>0.00225</v>
      </c>
      <c r="Q24" s="207" t="n">
        <f aca="false">IF(OR(ISTEXT(H24),P24=0),"",IF(P24&lt;0.1,1,IF(P24&lt;1,2,IF(P24&lt;10,3,IF(P24&lt;50,4,IF(P24&gt;=50,5,""))))))</f>
        <v>1</v>
      </c>
      <c r="R24" s="207" t="n">
        <f aca="false">IF(ISERROR(Q24*I24),0,Q24*I24)</f>
        <v>12</v>
      </c>
      <c r="S24" s="207" t="n">
        <f aca="false">IF(ISERROR(Q24*I24*J24),0,Q24*I24*J24)</f>
        <v>24</v>
      </c>
      <c r="T24" s="221" t="n">
        <f aca="false">IF(ISERROR(Q24*J24),0,Q24*J24)</f>
        <v>2</v>
      </c>
      <c r="U24" s="208" t="str">
        <f aca="false">IF(AND(A24="",F24=0),"",IF(F24=0,"Il manque le(s) % de rec. !",""))</f>
        <v/>
      </c>
      <c r="V24" s="209"/>
      <c r="W24" s="209"/>
      <c r="X24" s="207" t="str">
        <f aca="false">IF(A24="new.cod","NEW.COD",IF(AND((Y24=""),ISTEXT(A24)),A24,IF(Y24="","",INDEX('[1]liste reference'!$A$7:$A$906,Y24))))</f>
        <v>DIA.SPX</v>
      </c>
      <c r="Y24" s="8" t="n">
        <f aca="false">IF(ISERROR(MATCH(A24,'[1]liste reference'!$A$7:$A$906,0)),IF(ISERROR(MATCH(A24,'[1]liste reference'!$B$7:$B$906,0)),"",(MATCH(A24,'[1]liste reference'!$B$7:$B$906,0))),(MATCH(A24,'[1]liste reference'!$A$7:$A$906,0)))</f>
        <v>27</v>
      </c>
      <c r="Z24" s="210"/>
      <c r="AA24" s="211"/>
      <c r="BB24" s="8" t="n">
        <f aca="false">IF(A24="","",1)</f>
        <v>1</v>
      </c>
    </row>
    <row r="25" customFormat="false" ht="12.75" hidden="false" customHeight="false" outlineLevel="0" collapsed="false">
      <c r="A25" s="212" t="s">
        <v>76</v>
      </c>
      <c r="B25" s="213" t="n">
        <v>0.005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0.00225</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2"/>
      <c r="M25" s="222"/>
      <c r="N25" s="222"/>
      <c r="O25" s="223"/>
      <c r="P25" s="206" t="n">
        <f aca="false">IF(ISTEXT(H25),"",(B25*$B$7/100)+(C25*$C$7/100))</f>
        <v>0.00225</v>
      </c>
      <c r="Q25" s="207" t="n">
        <f aca="false">IF(OR(ISTEXT(H25),P25=0),"",IF(P25&lt;0.1,1,IF(P25&lt;1,2,IF(P25&lt;10,3,IF(P25&lt;50,4,IF(P25&gt;=50,5,""))))))</f>
        <v>1</v>
      </c>
      <c r="R25" s="207" t="n">
        <f aca="false">IF(ISERROR(Q25*I25),0,Q25*I25)</f>
        <v>15</v>
      </c>
      <c r="S25" s="207" t="n">
        <f aca="false">IF(ISERROR(Q25*I25*J25),0,Q25*I25*J25)</f>
        <v>30</v>
      </c>
      <c r="T25" s="221" t="n">
        <f aca="false">IF(ISERROR(Q25*J25),0,Q25*J25)</f>
        <v>2</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15</v>
      </c>
      <c r="B26" s="213" t="n">
        <v>0.005</v>
      </c>
      <c r="C26" s="214" t="n">
        <v>0.9</v>
      </c>
      <c r="D26" s="215" t="str">
        <f aca="false">IF(ISERROR(VLOOKUP($A26,'[1]liste reference'!$A$7:$D$906,2,0)),IF(ISERROR(VLOOKUP($A26,'[1]liste reference'!$B$7:$D$906,1,0)),"",VLOOKUP($A26,'[1]liste reference'!$B$7:$D$906,1,0)),VLOOKUP($A26,'[1]liste reference'!$A$7:$D$906,2,0))</f>
        <v>Melosira sp.</v>
      </c>
      <c r="E26" s="215" t="e">
        <f aca="false">IF(D26="",0,VLOOKUP(D26,D$22:D25,1,0))</f>
        <v>#N/A</v>
      </c>
      <c r="F26" s="216" t="n">
        <f aca="false">($B26*$B$7+$C26*$C$7)/100</f>
        <v>0.49725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10</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Melosira sp.</v>
      </c>
      <c r="L26" s="220"/>
      <c r="M26" s="220"/>
      <c r="N26" s="220"/>
      <c r="O26" s="205"/>
      <c r="P26" s="206" t="n">
        <f aca="false">IF(ISTEXT(H26),"",(B26*$B$7/100)+(C26*$C$7/100))</f>
        <v>0.49725</v>
      </c>
      <c r="Q26" s="207" t="n">
        <f aca="false">IF(OR(ISTEXT(H26),P26=0),"",IF(P26&lt;0.1,1,IF(P26&lt;1,2,IF(P26&lt;10,3,IF(P26&lt;50,4,IF(P26&gt;=50,5,""))))))</f>
        <v>2</v>
      </c>
      <c r="R26" s="207" t="n">
        <f aca="false">IF(ISERROR(Q26*I26),0,Q26*I26)</f>
        <v>20</v>
      </c>
      <c r="S26" s="207" t="n">
        <f aca="false">IF(ISERROR(Q26*I26*J26),0,Q26*I26*J26)</f>
        <v>20</v>
      </c>
      <c r="T26" s="221" t="n">
        <f aca="false">IF(ISERROR(Q26*J26),0,Q26*J26)</f>
        <v>2</v>
      </c>
      <c r="U26" s="208" t="str">
        <f aca="false">IF(AND(A26="",F26=0),"",IF(F26=0,"Il manque le(s) % de rec. !",""))</f>
        <v/>
      </c>
      <c r="V26" s="209"/>
      <c r="X26" s="207" t="str">
        <f aca="false">IF(A26="new.cod","NEW.COD",IF(AND((Y26=""),ISTEXT(A26)),A26,IF(Y26="","",INDEX('[1]liste reference'!$A$7:$A$906,Y26))))</f>
        <v>MEL.SPX</v>
      </c>
      <c r="Y26" s="8" t="n">
        <f aca="false">IF(ISERROR(MATCH(A26,'[1]liste reference'!$A$7:$A$906,0)),IF(ISERROR(MATCH(A26,'[1]liste reference'!$B$7:$B$906,0)),"",(MATCH(A26,'[1]liste reference'!$B$7:$B$906,0))),(MATCH(A26,'[1]liste reference'!$A$7:$A$906,0)))</f>
        <v>37</v>
      </c>
      <c r="Z26" s="210"/>
      <c r="AA26" s="211"/>
      <c r="BB26" s="8" t="n">
        <f aca="false">IF(A26="","",1)</f>
        <v>1</v>
      </c>
    </row>
    <row r="27" customFormat="false" ht="12.75" hidden="false" customHeight="false" outlineLevel="0" collapsed="false">
      <c r="A27" s="212" t="s">
        <v>77</v>
      </c>
      <c r="B27" s="213" t="n">
        <v>0.005</v>
      </c>
      <c r="C27" s="214" t="n">
        <v>0.005</v>
      </c>
      <c r="D27" s="215" t="str">
        <f aca="false">IF(ISERROR(VLOOKUP($A27,'[1]liste reference'!$A$7:$D$906,2,0)),IF(ISERROR(VLOOKUP($A27,'[1]liste reference'!$B$7:$D$906,1,0)),"",VLOOKUP($A27,'[1]liste reference'!$B$7:$D$906,1,0)),VLOOKUP($A27,'[1]liste reference'!$A$7:$D$906,2,0))</f>
        <v>Oedogonium sp.</v>
      </c>
      <c r="E27" s="215" t="e">
        <f aca="false">IF(D27="",0,VLOOKUP(D27,D$21:D26,1,0))</f>
        <v>#N/A</v>
      </c>
      <c r="F27" s="216" t="n">
        <f aca="false">($B27*$B$7+$C27*$C$7)/100</f>
        <v>0.005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0.005</v>
      </c>
      <c r="Q27" s="207" t="n">
        <f aca="false">IF(OR(ISTEXT(H27),P27=0),"",IF(P27&lt;0.1,1,IF(P27&lt;1,2,IF(P27&lt;10,3,IF(P27&lt;50,4,IF(P27&gt;=50,5,""))))))</f>
        <v>1</v>
      </c>
      <c r="R27" s="207" t="n">
        <f aca="false">IF(ISERROR(Q27*I27),0,Q27*I27)</f>
        <v>6</v>
      </c>
      <c r="S27" s="207" t="n">
        <f aca="false">IF(ISERROR(Q27*I27*J27),0,Q27*I27*J27)</f>
        <v>12</v>
      </c>
      <c r="T27" s="221" t="n">
        <f aca="false">IF(ISERROR(Q27*J27),0,Q27*J27)</f>
        <v>2</v>
      </c>
      <c r="U27" s="208" t="str">
        <f aca="false">IF(AND(A27="",F27=0),"",IF(F27=0,"Il manque le(s) % de rec. !",""))</f>
        <v/>
      </c>
      <c r="V27" s="209"/>
      <c r="W27" s="224"/>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78</v>
      </c>
      <c r="B28" s="213"/>
      <c r="C28" s="214" t="n">
        <v>0.005</v>
      </c>
      <c r="D28" s="215" t="str">
        <f aca="false">IF(ISERROR(VLOOKUP($A28,'[1]liste reference'!$A$7:$D$906,2,0)),IF(ISERROR(VLOOKUP($A28,'[1]liste reference'!$B$7:$D$906,1,0)),"",VLOOKUP($A28,'[1]liste reference'!$B$7:$D$906,1,0)),VLOOKUP($A28,'[1]liste reference'!$A$7:$D$906,2,0))</f>
        <v>Oscillatoria sp.       </v>
      </c>
      <c r="E28" s="215" t="e">
        <f aca="false">IF(D28="",0,VLOOKUP(D28,D$22:D27,1,0))</f>
        <v>#N/A</v>
      </c>
      <c r="F28" s="216" t="n">
        <f aca="false">($B28*$B$7+$C28*$C$7)/100</f>
        <v>0.00275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11</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Oscillatoria sp.       </v>
      </c>
      <c r="L28" s="220"/>
      <c r="M28" s="220"/>
      <c r="N28" s="220"/>
      <c r="O28" s="205"/>
      <c r="P28" s="206" t="n">
        <f aca="false">IF(ISTEXT(H28),"",(B28*$B$7/100)+(C28*$C$7/100))</f>
        <v>0.00275</v>
      </c>
      <c r="Q28" s="207" t="n">
        <f aca="false">IF(OR(ISTEXT(H28),P28=0),"",IF(P28&lt;0.1,1,IF(P28&lt;1,2,IF(P28&lt;10,3,IF(P28&lt;50,4,IF(P28&gt;=50,5,""))))))</f>
        <v>1</v>
      </c>
      <c r="R28" s="207" t="n">
        <f aca="false">IF(ISERROR(Q28*I28),0,Q28*I28)</f>
        <v>11</v>
      </c>
      <c r="S28" s="207" t="n">
        <f aca="false">IF(ISERROR(Q28*I28*J28),0,Q28*I28*J28)</f>
        <v>11</v>
      </c>
      <c r="T28" s="221" t="n">
        <f aca="false">IF(ISERROR(Q28*J28),0,Q28*J28)</f>
        <v>1</v>
      </c>
      <c r="U28" s="208" t="str">
        <f aca="false">IF(AND(A28="",F28=0),"",IF(F28=0,"Il manque le(s) % de rec. !",""))</f>
        <v/>
      </c>
      <c r="V28" s="209"/>
      <c r="X28" s="207" t="str">
        <f aca="false">IF(A28="new.cod","NEW.COD",IF(AND((Y28=""),ISTEXT(A28)),A28,IF(Y28="","",INDEX('[1]liste reference'!$A$7:$A$906,Y28))))</f>
        <v>OSC.SPX</v>
      </c>
      <c r="Y28" s="8" t="n">
        <f aca="false">IF(ISERROR(MATCH(A28,'[1]liste reference'!$A$7:$A$906,0)),IF(ISERROR(MATCH(A28,'[1]liste reference'!$B$7:$B$906,0)),"",(MATCH(A28,'[1]liste reference'!$B$7:$B$906,0))),(MATCH(A28,'[1]liste reference'!$A$7:$A$906,0)))</f>
        <v>57</v>
      </c>
      <c r="Z28" s="210"/>
      <c r="AA28" s="211"/>
      <c r="BB28" s="8" t="n">
        <f aca="false">IF(A28="","",1)</f>
        <v>1</v>
      </c>
    </row>
    <row r="29" customFormat="false" ht="12.75" hidden="false" customHeight="false" outlineLevel="0" collapsed="false">
      <c r="A29" s="212" t="s">
        <v>79</v>
      </c>
      <c r="B29" s="213" t="n">
        <v>0.005</v>
      </c>
      <c r="C29" s="214"/>
      <c r="D29" s="215" t="str">
        <f aca="false">IF(ISERROR(VLOOKUP($A29,'[1]liste reference'!$A$7:$D$906,2,0)),IF(ISERROR(VLOOKUP($A29,'[1]liste reference'!$B$7:$D$906,1,0)),"",VLOOKUP($A29,'[1]liste reference'!$B$7:$D$906,1,0)),VLOOKUP($A29,'[1]liste reference'!$A$7:$D$906,2,0))</f>
        <v>Phormidium sp.</v>
      </c>
      <c r="E29" s="215" t="e">
        <f aca="false">IF(D29="",0,VLOOKUP(D29,D$22:D28,1,0))</f>
        <v>#N/A</v>
      </c>
      <c r="F29" s="216" t="n">
        <f aca="false">($B29*$B$7+$C29*$C$7)/100</f>
        <v>0.00225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13</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Phormidium sp.</v>
      </c>
      <c r="L29" s="220"/>
      <c r="M29" s="220"/>
      <c r="N29" s="220"/>
      <c r="O29" s="205"/>
      <c r="P29" s="206" t="n">
        <f aca="false">IF(ISTEXT(H29),"",(B29*$B$7/100)+(C29*$C$7/100))</f>
        <v>0.00225</v>
      </c>
      <c r="Q29" s="207" t="n">
        <f aca="false">IF(OR(ISTEXT(H29),P29=0),"",IF(P29&lt;0.1,1,IF(P29&lt;1,2,IF(P29&lt;10,3,IF(P29&lt;50,4,IF(P29&gt;=50,5,""))))))</f>
        <v>1</v>
      </c>
      <c r="R29" s="207" t="n">
        <f aca="false">IF(ISERROR(Q29*I29),0,Q29*I29)</f>
        <v>13</v>
      </c>
      <c r="S29" s="207" t="n">
        <f aca="false">IF(ISERROR(Q29*I29*J29),0,Q29*I29*J29)</f>
        <v>26</v>
      </c>
      <c r="T29" s="221" t="n">
        <f aca="false">IF(ISERROR(Q29*J29),0,Q29*J29)</f>
        <v>2</v>
      </c>
      <c r="U29" s="208" t="str">
        <f aca="false">IF(AND(A29="",F29=0),"",IF(F29=0,"Il manque le(s) % de rec. !",""))</f>
        <v/>
      </c>
      <c r="V29" s="209"/>
      <c r="X29" s="207" t="str">
        <f aca="false">IF(A29="new.cod","NEW.COD",IF(AND((Y29=""),ISTEXT(A29)),A29,IF(Y29="","",INDEX('[1]liste reference'!$A$7:$A$906,Y29))))</f>
        <v>PHO.SPX</v>
      </c>
      <c r="Y29" s="8" t="n">
        <f aca="false">IF(ISERROR(MATCH(A29,'[1]liste reference'!$A$7:$A$906,0)),IF(ISERROR(MATCH(A29,'[1]liste reference'!$B$7:$B$906,0)),"",(MATCH(A29,'[1]liste reference'!$B$7:$B$906,0))),(MATCH(A29,'[1]liste reference'!$A$7:$A$906,0)))</f>
        <v>58</v>
      </c>
      <c r="Z29" s="210"/>
      <c r="AA29" s="211"/>
      <c r="BB29" s="8" t="n">
        <f aca="false">IF(A29="","",1)</f>
        <v>1</v>
      </c>
    </row>
    <row r="30" customFormat="false" ht="12.75" hidden="false" customHeight="false" outlineLevel="0" collapsed="false">
      <c r="A30" s="212" t="s">
        <v>80</v>
      </c>
      <c r="B30" s="213"/>
      <c r="C30" s="214" t="n">
        <v>0.005</v>
      </c>
      <c r="D30" s="215" t="str">
        <f aca="false">IF(ISERROR(VLOOKUP($A30,'[1]liste reference'!$A$7:$D$906,2,0)),IF(ISERROR(VLOOKUP($A30,'[1]liste reference'!$B$7:$D$906,1,0)),"",VLOOKUP($A30,'[1]liste reference'!$B$7:$D$906,1,0)),VLOOKUP($A30,'[1]liste reference'!$A$7:$D$906,2,0))</f>
        <v>Spirogyra sp.       </v>
      </c>
      <c r="E30" s="215" t="e">
        <f aca="false">IF(D30="",0,VLOOKUP(D30,D$22:D29,1,0))</f>
        <v>#N/A</v>
      </c>
      <c r="F30" s="216" t="n">
        <f aca="false">($B30*$B$7+$C30*$C$7)/100</f>
        <v>0.00275</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10</v>
      </c>
      <c r="J30" s="202" t="n">
        <f aca="false">IF(ISNUMBER(H30),IF(ISERROR(VLOOKUP($A30,'[1]liste reference'!$A$7:$P$906,4,0)),IF(ISERROR(VLOOKUP($A30,'[1]liste reference'!$B$7:$P$906,3,0)),"",VLOOKUP($A30,'[1]liste reference'!$B$7:$P$906,3,0)),VLOOKUP($A30,'[1]liste reference'!$A$7:$P$906,4,0)),"")</f>
        <v>1</v>
      </c>
      <c r="K30" s="219" t="str">
        <f aca="false">IF(A30="NEW.COD",AA30,IF(ISTEXT($E30),"DEJA SAISI !",IF(A30="","",IF(ISERROR(VLOOKUP($A30,'[1]liste reference'!$A$7:$D$906,2,0)),IF(ISERROR(VLOOKUP($A30,'[1]liste reference'!$B$7:$D$906,1,0)),"code non répertorié ou synonyme",VLOOKUP($A30,'[1]liste reference'!$B$7:$D$906,1,0)),VLOOKUP(A30,'[1]liste reference'!$A$7:$D$906,2,0)))))</f>
        <v>Spirogyra sp.       </v>
      </c>
      <c r="L30" s="220"/>
      <c r="M30" s="220"/>
      <c r="N30" s="220"/>
      <c r="O30" s="205"/>
      <c r="P30" s="206" t="n">
        <f aca="false">IF(ISTEXT(H30),"",(B30*$B$7/100)+(C30*$C$7/100))</f>
        <v>0.00275</v>
      </c>
      <c r="Q30" s="207" t="n">
        <f aca="false">IF(OR(ISTEXT(H30),P30=0),"",IF(P30&lt;0.1,1,IF(P30&lt;1,2,IF(P30&lt;10,3,IF(P30&lt;50,4,IF(P30&gt;=50,5,""))))))</f>
        <v>1</v>
      </c>
      <c r="R30" s="207" t="n">
        <f aca="false">IF(ISERROR(Q30*I30),0,Q30*I30)</f>
        <v>10</v>
      </c>
      <c r="S30" s="207" t="n">
        <f aca="false">IF(ISERROR(Q30*I30*J30),0,Q30*I30*J30)</f>
        <v>10</v>
      </c>
      <c r="T30" s="221" t="n">
        <f aca="false">IF(ISERROR(Q30*J30),0,Q30*J30)</f>
        <v>1</v>
      </c>
      <c r="U30" s="208" t="str">
        <f aca="false">IF(AND(A30="",F30=0),"",IF(F30=0,"Il manque le(s) % de rec. !",""))</f>
        <v/>
      </c>
      <c r="V30" s="209"/>
      <c r="X30" s="207" t="str">
        <f aca="false">IF(A30="new.cod","NEW.COD",IF(AND((Y30=""),ISTEXT(A30)),A30,IF(Y30="","",INDEX('[1]liste reference'!$A$7:$A$906,Y30))))</f>
        <v>SPI.SPX</v>
      </c>
      <c r="Y30" s="8" t="n">
        <f aca="false">IF(ISERROR(MATCH(A30,'[1]liste reference'!$A$7:$A$906,0)),IF(ISERROR(MATCH(A30,'[1]liste reference'!$B$7:$B$906,0)),"",(MATCH(A30,'[1]liste reference'!$B$7:$B$906,0))),(MATCH(A30,'[1]liste reference'!$A$7:$A$906,0)))</f>
        <v>70</v>
      </c>
      <c r="Z30" s="210"/>
      <c r="AA30" s="211"/>
      <c r="BB30" s="8" t="n">
        <f aca="false">IF(A30="","",1)</f>
        <v>1</v>
      </c>
    </row>
    <row r="31" customFormat="false" ht="12.75" hidden="false" customHeight="false" outlineLevel="0" collapsed="false">
      <c r="A31" s="212" t="s">
        <v>81</v>
      </c>
      <c r="B31" s="213"/>
      <c r="C31" s="214" t="n">
        <v>0.005</v>
      </c>
      <c r="D31" s="215" t="str">
        <f aca="false">IF(ISERROR(VLOOKUP($A31,'[1]liste reference'!$A$7:$D$906,2,0)),IF(ISERROR(VLOOKUP($A31,'[1]liste reference'!$B$7:$D$906,1,0)),"",VLOOKUP($A31,'[1]liste reference'!$B$7:$D$906,1,0)),VLOOKUP($A31,'[1]liste reference'!$A$7:$D$906,2,0))</f>
        <v>Stigeoclonium tenue       </v>
      </c>
      <c r="E31" s="215" t="e">
        <f aca="false">IF(D31="",0,VLOOKUP(D31,D$22:D30,1,0))</f>
        <v>#N/A</v>
      </c>
      <c r="F31" s="216" t="n">
        <f aca="false">($B31*$B$7+$C31*$C$7)/100</f>
        <v>0.00275</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Stigeoclonium tenue       </v>
      </c>
      <c r="L31" s="220"/>
      <c r="M31" s="220"/>
      <c r="N31" s="220"/>
      <c r="O31" s="205"/>
      <c r="P31" s="206" t="n">
        <f aca="false">IF(ISTEXT(H31),"",(B31*$B$7/100)+(C31*$C$7/100))</f>
        <v>0.00275</v>
      </c>
      <c r="Q31" s="207" t="n">
        <f aca="false">IF(OR(ISTEXT(H31),P31=0),"",IF(P31&lt;0.1,1,IF(P31&lt;1,2,IF(P31&lt;10,3,IF(P31&lt;50,4,IF(P31&gt;=50,5,""))))))</f>
        <v>1</v>
      </c>
      <c r="R31" s="207" t="n">
        <f aca="false">IF(ISERROR(Q31*I31),0,Q31*I31)</f>
        <v>1</v>
      </c>
      <c r="S31" s="207" t="n">
        <f aca="false">IF(ISERROR(Q31*I31*J31),0,Q31*I31*J31)</f>
        <v>3</v>
      </c>
      <c r="T31" s="221" t="n">
        <f aca="false">IF(ISERROR(Q31*J31),0,Q31*J31)</f>
        <v>3</v>
      </c>
      <c r="U31" s="208" t="str">
        <f aca="false">IF(AND(A31="",F31=0),"",IF(F31=0,"Il manque le(s) % de rec. !",""))</f>
        <v/>
      </c>
      <c r="V31" s="209"/>
      <c r="X31" s="207" t="str">
        <f aca="false">IF(A31="new.cod","NEW.COD",IF(AND((Y31=""),ISTEXT(A31)),A31,IF(Y31="","",INDEX('[1]liste reference'!$A$7:$A$906,Y31))))</f>
        <v>STI.TEN</v>
      </c>
      <c r="Y31" s="8" t="n">
        <f aca="false">IF(ISERROR(MATCH(A31,'[1]liste reference'!$A$7:$A$906,0)),IF(ISERROR(MATCH(A31,'[1]liste reference'!$B$7:$B$906,0)),"",(MATCH(A31,'[1]liste reference'!$B$7:$B$906,0))),(MATCH(A31,'[1]liste reference'!$A$7:$A$906,0)))</f>
        <v>73</v>
      </c>
      <c r="Z31" s="210"/>
      <c r="AA31" s="211"/>
      <c r="BB31" s="8" t="n">
        <f aca="false">IF(A31="","",1)</f>
        <v>1</v>
      </c>
    </row>
    <row r="32" customFormat="false" ht="12.75" hidden="false" customHeight="false" outlineLevel="0" collapsed="false">
      <c r="A32" s="212" t="s">
        <v>82</v>
      </c>
      <c r="B32" s="213"/>
      <c r="C32" s="214" t="n">
        <v>0.005</v>
      </c>
      <c r="D32" s="215" t="str">
        <f aca="false">IF(ISERROR(VLOOKUP($A32,'[1]liste reference'!$A$7:$D$906,2,0)),IF(ISERROR(VLOOKUP($A32,'[1]liste reference'!$B$7:$D$906,1,0)),"",VLOOKUP($A32,'[1]liste reference'!$B$7:$D$906,1,0)),VLOOKUP($A32,'[1]liste reference'!$A$7:$D$906,2,0))</f>
        <v>Vaucheria sp.</v>
      </c>
      <c r="E32" s="215" t="e">
        <f aca="false">IF(D32="",0,VLOOKUP(D32,D$22:D31,1,0))</f>
        <v>#N/A</v>
      </c>
      <c r="F32" s="216" t="n">
        <f aca="false">($B32*$B$7+$C32*$C$7)/100</f>
        <v>0.00275</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Vaucheria sp.</v>
      </c>
      <c r="L32" s="220"/>
      <c r="M32" s="220"/>
      <c r="N32" s="220"/>
      <c r="O32" s="205"/>
      <c r="P32" s="206" t="n">
        <f aca="false">IF(ISTEXT(H32),"",(B32*$B$7/100)+(C32*$C$7/100))</f>
        <v>0.00275</v>
      </c>
      <c r="Q32" s="207" t="n">
        <f aca="false">IF(OR(ISTEXT(H32),P32=0),"",IF(P32&lt;0.1,1,IF(P32&lt;1,2,IF(P32&lt;10,3,IF(P32&lt;50,4,IF(P32&gt;=50,5,""))))))</f>
        <v>1</v>
      </c>
      <c r="R32" s="207" t="n">
        <f aca="false">IF(ISERROR(Q32*I32),0,Q32*I32)</f>
        <v>4</v>
      </c>
      <c r="S32" s="207" t="n">
        <f aca="false">IF(ISERROR(Q32*I32*J32),0,Q32*I32*J32)</f>
        <v>4</v>
      </c>
      <c r="T32" s="221" t="n">
        <f aca="false">IF(ISERROR(Q32*J32),0,Q32*J32)</f>
        <v>1</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75" hidden="false" customHeight="false" outlineLevel="0" collapsed="false">
      <c r="A33" s="212" t="s">
        <v>83</v>
      </c>
      <c r="B33" s="213" t="n">
        <v>0.01</v>
      </c>
      <c r="C33" s="214"/>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0.0045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2"/>
      <c r="M33" s="222"/>
      <c r="N33" s="222"/>
      <c r="O33" s="223"/>
      <c r="P33" s="206" t="n">
        <f aca="false">IF(ISTEXT(H33),"",(B33*$B$7/100)+(C33*$C$7/100))</f>
        <v>0.0045</v>
      </c>
      <c r="Q33" s="207" t="n">
        <f aca="false">IF(OR(ISTEXT(H33),P33=0),"",IF(P33&lt;0.1,1,IF(P33&lt;1,2,IF(P33&lt;10,3,IF(P33&lt;50,4,IF(P33&gt;=50,5,""))))))</f>
        <v>1</v>
      </c>
      <c r="R33" s="207" t="n">
        <f aca="false">IF(ISERROR(Q33*I33),0,Q33*I33)</f>
        <v>5</v>
      </c>
      <c r="S33" s="207" t="n">
        <f aca="false">IF(ISERROR(Q33*I33*J33),0,Q33*I33*J33)</f>
        <v>10</v>
      </c>
      <c r="T33" s="221" t="n">
        <f aca="false">IF(ISERROR(Q33*J33),0,Q33*J33)</f>
        <v>2</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84</v>
      </c>
      <c r="B34" s="213" t="n">
        <v>0.2</v>
      </c>
      <c r="C34" s="214" t="n">
        <v>0.01</v>
      </c>
      <c r="D34" s="215" t="str">
        <f aca="false">IF(ISERROR(VLOOKUP($A34,'[1]liste reference'!$A$7:$D$906,2,0)),IF(ISERROR(VLOOKUP($A34,'[1]liste reference'!$B$7:$D$906,1,0)),"",VLOOKUP($A34,'[1]liste reference'!$B$7:$D$906,1,0)),VLOOKUP($A34,'[1]liste reference'!$A$7:$D$906,2,0))</f>
        <v>Fontinalis antipyretica</v>
      </c>
      <c r="E34" s="215" t="e">
        <f aca="false">IF(D34="",0,VLOOKUP(D34,D$22:D33,1,0))</f>
        <v>#N/A</v>
      </c>
      <c r="F34" s="225" t="n">
        <f aca="false">($B34*$B$7+$C34*$C$7)/100</f>
        <v>0.0955</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Fontinalis antipyretica</v>
      </c>
      <c r="L34" s="220"/>
      <c r="M34" s="220"/>
      <c r="N34" s="220"/>
      <c r="O34" s="205"/>
      <c r="P34" s="206" t="n">
        <f aca="false">IF(ISTEXT(H34),"",(B34*$B$7/100)+(C34*$C$7/100))</f>
        <v>0.0955</v>
      </c>
      <c r="Q34" s="207" t="n">
        <f aca="false">IF(OR(ISTEXT(H34),P34=0),"",IF(P34&lt;0.1,1,IF(P34&lt;1,2,IF(P34&lt;10,3,IF(P34&lt;50,4,IF(P34&gt;=50,5,""))))))</f>
        <v>1</v>
      </c>
      <c r="R34" s="207" t="n">
        <f aca="false">IF(ISERROR(Q34*I34),0,Q34*I34)</f>
        <v>10</v>
      </c>
      <c r="S34" s="207" t="n">
        <f aca="false">IF(ISERROR(Q34*I34*J34),0,Q34*I34*J34)</f>
        <v>10</v>
      </c>
      <c r="T34" s="221" t="n">
        <f aca="false">IF(ISERROR(Q34*J34),0,Q34*J34)</f>
        <v>1</v>
      </c>
      <c r="U34" s="208" t="str">
        <f aca="false">IF(AND(A34="",F34=0),"",IF(F34=0,"Il manque le(s) % de rec. !",""))</f>
        <v/>
      </c>
      <c r="V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211</v>
      </c>
      <c r="Z34" s="210"/>
      <c r="AA34" s="211"/>
      <c r="BB34" s="8" t="n">
        <f aca="false">IF(A34="","",1)</f>
        <v>1</v>
      </c>
    </row>
    <row r="35" customFormat="false" ht="12.75" hidden="false" customHeight="false" outlineLevel="0" collapsed="false">
      <c r="A35" s="212" t="s">
        <v>85</v>
      </c>
      <c r="B35" s="213" t="n">
        <v>0.02</v>
      </c>
      <c r="C35" s="214" t="n">
        <v>0.1</v>
      </c>
      <c r="D35" s="215" t="str">
        <f aca="false">IF(ISERROR(VLOOKUP($A35,'[1]liste reference'!$A$7:$D$906,2,0)),IF(ISERROR(VLOOKUP($A35,'[1]liste reference'!$B$7:$D$906,1,0)),"",VLOOKUP($A35,'[1]liste reference'!$B$7:$D$906,1,0)),VLOOKUP($A35,'[1]liste reference'!$A$7:$D$906,2,0))</f>
        <v>Octodiceras fontanum</v>
      </c>
      <c r="E35" s="215" t="e">
        <f aca="false">IF(D35="",0,VLOOKUP(D35,D$22:D34,1,0))</f>
        <v>#N/A</v>
      </c>
      <c r="F35" s="225" t="n">
        <f aca="false">($B35*$B$7+$C35*$C$7)/100</f>
        <v>0.064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7</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Octodiceras fontanum</v>
      </c>
      <c r="L35" s="220"/>
      <c r="M35" s="220"/>
      <c r="N35" s="220"/>
      <c r="O35" s="205"/>
      <c r="P35" s="206" t="n">
        <f aca="false">IF(ISTEXT(H35),"",(B35*$B$7/100)+(C35*$C$7/100))</f>
        <v>0.064</v>
      </c>
      <c r="Q35" s="207" t="n">
        <f aca="false">IF(OR(ISTEXT(H35),P35=0),"",IF(P35&lt;0.1,1,IF(P35&lt;1,2,IF(P35&lt;10,3,IF(P35&lt;50,4,IF(P35&gt;=50,5,""))))))</f>
        <v>1</v>
      </c>
      <c r="R35" s="207" t="n">
        <f aca="false">IF(ISERROR(Q35*I35),0,Q35*I35)</f>
        <v>7</v>
      </c>
      <c r="S35" s="207" t="n">
        <f aca="false">IF(ISERROR(Q35*I35*J35),0,Q35*I35*J35)</f>
        <v>21</v>
      </c>
      <c r="T35" s="221" t="n">
        <f aca="false">IF(ISERROR(Q35*J35),0,Q35*J35)</f>
        <v>3</v>
      </c>
      <c r="U35" s="208" t="str">
        <f aca="false">IF(AND(A35="",F35=0),"",IF(F35=0,"Il manque le(s) % de rec. !",""))</f>
        <v/>
      </c>
      <c r="V35" s="209"/>
      <c r="X35" s="207" t="str">
        <f aca="false">IF(A35="new.cod","NEW.COD",IF(AND((Y35=""),ISTEXT(A35)),A35,IF(Y35="","",INDEX('[1]liste reference'!$A$7:$A$906,Y35))))</f>
        <v>OCT.FON</v>
      </c>
      <c r="Y35" s="8" t="n">
        <f aca="false">IF(ISERROR(MATCH(A35,'[1]liste reference'!$A$7:$A$906,0)),IF(ISERROR(MATCH(A35,'[1]liste reference'!$B$7:$B$906,0)),"",(MATCH(A35,'[1]liste reference'!$B$7:$B$906,0))),(MATCH(A35,'[1]liste reference'!$A$7:$A$906,0)))</f>
        <v>229</v>
      </c>
      <c r="Z35" s="210"/>
      <c r="AA35" s="211"/>
      <c r="BB35" s="8" t="n">
        <f aca="false">IF(A35="","",1)</f>
        <v>1</v>
      </c>
    </row>
    <row r="36" customFormat="false" ht="12.75" hidden="false" customHeight="false" outlineLevel="0" collapsed="false">
      <c r="A36" s="212" t="s">
        <v>86</v>
      </c>
      <c r="B36" s="213"/>
      <c r="C36" s="214" t="n">
        <v>0.005</v>
      </c>
      <c r="D36" s="215" t="str">
        <f aca="false">IF(ISERROR(VLOOKUP($A36,'[1]liste reference'!$A$7:$D$906,2,0)),IF(ISERROR(VLOOKUP($A36,'[1]liste reference'!$B$7:$D$906,1,0)),"",VLOOKUP($A36,'[1]liste reference'!$B$7:$D$906,1,0)),VLOOKUP($A36,'[1]liste reference'!$A$7:$D$906,2,0))</f>
        <v>Agrostis stolonifera</v>
      </c>
      <c r="E36" s="215" t="e">
        <f aca="false">IF(D36="",0,VLOOKUP(D36,D$22:D35,1,0))</f>
        <v>#N/A</v>
      </c>
      <c r="F36" s="225" t="n">
        <f aca="false">($B36*$B$7+$C36*$C$7)/100</f>
        <v>0.00275</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0"/>
      <c r="M36" s="220"/>
      <c r="N36" s="220"/>
      <c r="O36" s="205"/>
      <c r="P36" s="206" t="n">
        <f aca="false">IF(ISTEXT(H36),"",(B36*$B$7/100)+(C36*$C$7/100))</f>
        <v>0.00275</v>
      </c>
      <c r="Q36" s="207" t="n">
        <f aca="false">IF(OR(ISTEXT(H36),P36=0),"",IF(P36&lt;0.1,1,IF(P36&lt;1,2,IF(P36&lt;10,3,IF(P36&lt;50,4,IF(P36&gt;=50,5,""))))))</f>
        <v>1</v>
      </c>
      <c r="R36" s="207" t="n">
        <f aca="false">IF(ISERROR(Q36*I36),0,Q36*I36)</f>
        <v>10</v>
      </c>
      <c r="S36" s="207" t="n">
        <f aca="false">IF(ISERROR(Q36*I36*J36),0,Q36*I36*J36)</f>
        <v>10</v>
      </c>
      <c r="T36" s="221" t="n">
        <f aca="false">IF(ISERROR(Q36*J36),0,Q36*J36)</f>
        <v>1</v>
      </c>
      <c r="U36" s="208" t="str">
        <f aca="false">IF(AND(A36="",F36=0),"",IF(F36=0,"Il manque le(s) % de rec. !",""))</f>
        <v/>
      </c>
      <c r="V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87</v>
      </c>
      <c r="B37" s="213"/>
      <c r="C37" s="214" t="n">
        <v>0.005</v>
      </c>
      <c r="D37" s="215" t="str">
        <f aca="false">IF(ISERROR(VLOOKUP($A37,'[1]liste reference'!$A$7:$D$906,2,0)),IF(ISERROR(VLOOKUP($A37,'[1]liste reference'!$B$7:$D$906,1,0)),"",VLOOKUP($A37,'[1]liste reference'!$B$7:$D$906,1,0)),VLOOKUP($A37,'[1]liste reference'!$A$7:$D$906,2,0))</f>
        <v>Lythrum salicaria</v>
      </c>
      <c r="E37" s="215" t="e">
        <f aca="false">IF(D37="",0,VLOOKUP(D37,D$22:D36,1,0))</f>
        <v>#N/A</v>
      </c>
      <c r="F37" s="225" t="n">
        <f aca="false">($B37*$B$7+$C37*$C$7)/100</f>
        <v>0.00275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Lythrum salicaria</v>
      </c>
      <c r="L37" s="220"/>
      <c r="M37" s="220"/>
      <c r="N37" s="220"/>
      <c r="O37" s="205"/>
      <c r="P37" s="206" t="n">
        <f aca="false">IF(ISTEXT(H37),"",(B37*$B$7/100)+(C37*$C$7/100))</f>
        <v>0.00275</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W37" s="209"/>
      <c r="X37" s="207" t="str">
        <f aca="false">IF(A37="new.cod","NEW.COD",IF(AND((Y37=""),ISTEXT(A37)),A37,IF(Y37="","",INDEX('[1]liste reference'!$A$7:$A$906,Y37))))</f>
        <v>LYT.SAL</v>
      </c>
      <c r="Y37" s="8" t="n">
        <f aca="false">IF(ISERROR(MATCH(A37,'[1]liste reference'!$A$7:$A$906,0)),IF(ISERROR(MATCH(A37,'[1]liste reference'!$B$7:$B$906,0)),"",(MATCH(A37,'[1]liste reference'!$B$7:$B$906,0))),(MATCH(A37,'[1]liste reference'!$A$7:$A$906,0)))</f>
        <v>611</v>
      </c>
      <c r="Z37" s="210"/>
      <c r="AA37" s="211"/>
      <c r="BB37" s="8" t="n">
        <f aca="false">IF(A37="","",1)</f>
        <v>1</v>
      </c>
    </row>
    <row r="38" customFormat="false" ht="12.75" hidden="false" customHeight="false" outlineLevel="0" collapsed="false">
      <c r="A38" s="212" t="s">
        <v>88</v>
      </c>
      <c r="B38" s="213" t="n">
        <v>0.1</v>
      </c>
      <c r="C38" s="214" t="n">
        <v>0.1</v>
      </c>
      <c r="D38" s="215" t="str">
        <f aca="false">IF(ISERROR(VLOOKUP($A38,'[1]liste reference'!$A$7:$D$906,2,0)),IF(ISERROR(VLOOKUP($A38,'[1]liste reference'!$B$7:$D$906,1,0)),"",VLOOKUP($A38,'[1]liste reference'!$B$7:$D$906,1,0)),VLOOKUP($A38,'[1]liste reference'!$A$7:$D$906,2,0))</f>
        <v>Phalaris arundinacea</v>
      </c>
      <c r="E38" s="215" t="e">
        <f aca="false">IF(D38="",0,VLOOKUP(D38,D$22:D37,1,0))</f>
        <v>#N/A</v>
      </c>
      <c r="F38" s="225" t="n">
        <f aca="false">($B38*$B$7+$C38*$C$7)/100</f>
        <v>0.1</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Phalaris arundinacea</v>
      </c>
      <c r="L38" s="220"/>
      <c r="M38" s="220"/>
      <c r="N38" s="220"/>
      <c r="O38" s="205"/>
      <c r="P38" s="206" t="n">
        <f aca="false">IF(ISTEXT(H38),"",(B38*$B$7/100)+(C38*$C$7/100))</f>
        <v>0.1</v>
      </c>
      <c r="Q38" s="207" t="n">
        <f aca="false">IF(OR(ISTEXT(H38),P38=0),"",IF(P38&lt;0.1,1,IF(P38&lt;1,2,IF(P38&lt;10,3,IF(P38&lt;50,4,IF(P38&gt;=50,5,""))))))</f>
        <v>2</v>
      </c>
      <c r="R38" s="207" t="n">
        <f aca="false">IF(ISERROR(Q38*I38),0,Q38*I38)</f>
        <v>20</v>
      </c>
      <c r="S38" s="207" t="n">
        <f aca="false">IF(ISERROR(Q38*I38*J38),0,Q38*I38*J38)</f>
        <v>20</v>
      </c>
      <c r="T38" s="221" t="n">
        <f aca="false">IF(ISERROR(Q38*J38),0,Q38*J38)</f>
        <v>2</v>
      </c>
      <c r="U38" s="208" t="str">
        <f aca="false">IF(AND(A38="",F38=0),"",IF(F38=0,"Il manque le(s) % de rec. !",""))</f>
        <v/>
      </c>
      <c r="V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640</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5"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5"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5"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5"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2"/>
      <c r="M81" s="222"/>
      <c r="N81" s="222"/>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LIGNON DU FOREZ</v>
      </c>
      <c r="B84" s="246" t="str">
        <f aca="false">C3</f>
        <v>Cleppe</v>
      </c>
      <c r="C84" s="247" t="n">
        <f aca="false">A4</f>
        <v>40413</v>
      </c>
      <c r="D84" s="248" t="n">
        <f aca="false">IF(ISERROR(SUM($S$23:$S$82)/SUM($T$23:$T$82)),"",SUM($S$23:$S$82)/SUM($T$23:$T$82))</f>
        <v>8.77777777777778</v>
      </c>
      <c r="E84" s="249" t="n">
        <f aca="false">N13</f>
        <v>16</v>
      </c>
      <c r="F84" s="250" t="n">
        <f aca="false">N14</f>
        <v>15</v>
      </c>
      <c r="G84" s="250" t="n">
        <f aca="false">N15</f>
        <v>7</v>
      </c>
      <c r="H84" s="250" t="n">
        <f aca="false">N16</f>
        <v>6</v>
      </c>
      <c r="I84" s="250" t="n">
        <f aca="false">N17</f>
        <v>2</v>
      </c>
      <c r="J84" s="251" t="n">
        <f aca="false">N8</f>
        <v>9.13333333333333</v>
      </c>
      <c r="K84" s="248" t="n">
        <f aca="false">N9</f>
        <v>3.81475830851457</v>
      </c>
      <c r="L84" s="249" t="n">
        <f aca="false">N10</f>
        <v>1</v>
      </c>
      <c r="M84" s="249" t="n">
        <f aca="false">N11</f>
        <v>15</v>
      </c>
      <c r="N84" s="248" t="n">
        <f aca="false">O8</f>
        <v>1.66666666666667</v>
      </c>
      <c r="O84" s="248" t="n">
        <f aca="false">O9</f>
        <v>0.723746864455746</v>
      </c>
      <c r="P84" s="249" t="n">
        <f aca="false">O10</f>
        <v>1</v>
      </c>
      <c r="Q84" s="249" t="n">
        <f aca="false">O11</f>
        <v>3</v>
      </c>
      <c r="R84" s="252" t="n">
        <f aca="false">F21</f>
        <v>0.79175</v>
      </c>
      <c r="S84" s="249" t="n">
        <f aca="false">K11</f>
        <v>0</v>
      </c>
      <c r="T84" s="249" t="n">
        <f aca="false">K12</f>
        <v>10</v>
      </c>
      <c r="U84" s="249" t="n">
        <f aca="false">K13</f>
        <v>3</v>
      </c>
      <c r="V84" s="253" t="n">
        <f aca="false">K14</f>
        <v>0</v>
      </c>
      <c r="W84" s="254" t="n">
        <f aca="false">K15</f>
        <v>3</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90</v>
      </c>
      <c r="Q86" s="8"/>
      <c r="R86" s="208"/>
      <c r="S86" s="8"/>
      <c r="T86" s="8"/>
      <c r="U86" s="8"/>
    </row>
    <row r="87" customFormat="false" ht="12.75" hidden="true" customHeight="false" outlineLevel="0" collapsed="false">
      <c r="P87" s="8" t="s">
        <v>91</v>
      </c>
      <c r="Q87" s="8"/>
      <c r="R87" s="208" t="n">
        <f aca="false">VLOOKUP(MAX($R$23:$R$82),($R$23:$T$82),1,0)</f>
        <v>20</v>
      </c>
      <c r="S87" s="8"/>
      <c r="T87" s="8"/>
      <c r="U87" s="8"/>
    </row>
    <row r="88" customFormat="false" ht="12.75" hidden="true" customHeight="false" outlineLevel="0" collapsed="false">
      <c r="P88" s="8" t="s">
        <v>92</v>
      </c>
      <c r="Q88" s="8"/>
      <c r="R88" s="208" t="n">
        <f aca="false">VLOOKUP((R87),($R$23:$T$82),2,0)</f>
        <v>20</v>
      </c>
      <c r="S88" s="8"/>
      <c r="T88" s="8"/>
      <c r="U88" s="8"/>
    </row>
    <row r="89" customFormat="false" ht="12.75" hidden="true" customHeight="false" outlineLevel="0" collapsed="false">
      <c r="P89" s="8" t="s">
        <v>93</v>
      </c>
      <c r="Q89" s="8"/>
      <c r="R89" s="208" t="n">
        <f aca="false">VLOOKUP((R87),($R$23:$T$82),3,0)</f>
        <v>2</v>
      </c>
      <c r="S89" s="8"/>
    </row>
    <row r="90" customFormat="false" ht="12.75" hidden="true" customHeight="false" outlineLevel="0" collapsed="false">
      <c r="P90" s="8" t="s">
        <v>94</v>
      </c>
      <c r="Q90" s="8"/>
      <c r="R90" s="256" t="n">
        <f aca="false">IF(ISERROR(SUM($S$23:$S$82)/SUM($T$23:$T$82)),"",(SUM($S$23:$S$82)-R88)/(SUM($T$23:$T$82)-R89))</f>
        <v>8.68</v>
      </c>
      <c r="S90" s="8"/>
    </row>
    <row r="91" customFormat="false" ht="12.75" hidden="true" customHeight="false" outlineLevel="0" collapsed="false">
      <c r="P91" s="207" t="s">
        <v>95</v>
      </c>
      <c r="Q91" s="207"/>
      <c r="R91" s="207" t="str">
        <f aca="false">INDEX('[1]liste reference'!$A$7:$A$906,$S$91)</f>
        <v>MEL.SPX</v>
      </c>
      <c r="S91" s="8" t="n">
        <f aca="false">IF(ISERROR(MATCH($R$93,'[1]liste reference'!$A$7:$A$906,0)),MATCH($R$93,'[1]liste reference'!$B$7:$B$906,0),(MATCH($R$93,'[1]liste reference'!$A$7:$A$906,0)))</f>
        <v>37</v>
      </c>
      <c r="T91" s="244"/>
    </row>
    <row r="92" customFormat="false" ht="12.75" hidden="true" customHeight="false" outlineLevel="0" collapsed="false">
      <c r="P92" s="8" t="s">
        <v>96</v>
      </c>
      <c r="Q92" s="8"/>
      <c r="R92" s="8" t="n">
        <f aca="false">MATCH(R87,$R$23:$R$82,0)</f>
        <v>4</v>
      </c>
      <c r="S92" s="8"/>
    </row>
    <row r="93" customFormat="false" ht="12.75" hidden="true" customHeight="false" outlineLevel="0" collapsed="false">
      <c r="P93" s="207" t="s">
        <v>97</v>
      </c>
      <c r="Q93" s="8"/>
      <c r="R93" s="207" t="str">
        <f aca="false">INDEX($A$23:$A$82,$R$92)</f>
        <v>MEL.SPX</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2024-03-13T18:56:26Z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