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2050" sheetId="1" state="visible" r:id="rId3"/>
  </sheets>
  <definedNames>
    <definedName function="false" hidden="false" localSheetId="0" name="_xlnm.Print_Area" vbProcedure="false">'04012050'!$A$1:$Q$82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<sst xmlns="http://schemas.openxmlformats.org/spreadsheetml/2006/main" count="156" uniqueCount="92">
  <si>
    <t xml:space="preserve">Relevés floristiques aquatiques - IBMR</t>
  </si>
  <si>
    <t xml:space="preserve">AQUABIO</t>
  </si>
  <si>
    <t xml:space="preserve">Elie GARCELON, Nicolas CONDUCHE</t>
  </si>
  <si>
    <t xml:space="preserve">goutte du Moulin</t>
  </si>
  <si>
    <t xml:space="preserve">RAU DU BOST À BUSSY-ALBIEUX</t>
  </si>
  <si>
    <t xml:space="preserve">04012050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</si>
  <si>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</si>
  <si>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</si>
  <si>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</si>
  <si>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</si>
  <si>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</si>
  <si>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</si>
  <si>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</si>
  <si>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</si>
  <si>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</si>
  <si>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HILSPX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</si>
  <si>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</si>
  <si>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</si>
  <si>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</si>
  <si>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</si>
  <si>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faible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</si>
  <si>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</si>
  <si>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</si>
  <si>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</si>
  <si>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</si>
  <si>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</si>
  <si>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</si>
  <si>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</si>
  <si>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</si>
  <si>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</si>
  <si>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</si>
  <si>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</si>
  <si>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</si>
  <si>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</si>
  <si>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</si>
  <si>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</si>
  <si>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</si>
  <si>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</si>
  <si>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</si>
  <si>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</si>
  <si>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</si>
  <si>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</si>
  <si>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</si>
  <si>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</si>
  <si>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</si>
  <si>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</si>
  <si>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</si>
  <si>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</si>
  <si>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</si>
  <si>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</si>
  <si>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</si>
  <si>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</si>
  <si>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</si>
  <si>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</si>
  <si>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</si>
  <si>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</si>
  <si>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</si>
  <si>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</si>
  <si>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</si>
  <si>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</si>
  <si>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</si>
  <si>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</si>
  <si>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</si>
  <si>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</si>
  <si>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</si>
  <si>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</si>
  <si>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</si>
  <si>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</si>
  <si>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</si>
  <si>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</si>
  <si>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</si>
  <si>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</si>
  <si>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</si>
  <si>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</si>
  <si>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</si>
  <si>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</si>
  <si>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</si>
  <si>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</si>
  <si>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CLASPX</t>
  </si>
  <si>
    <t xml:space="preserve"> -</t>
  </si>
  <si>
    <t xml:space="preserve">FONANT</t>
  </si>
  <si>
    <t xml:space="preserve">HYAFLU</t>
  </si>
  <si>
    <t xml:space="preserve">RHYRIP</t>
  </si>
  <si>
    <t xml:space="preserve">LEASPX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</si>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</sst>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42892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12.7272727272727</v>
      </c>
      <c r="N5" s="48"/>
      <c r="O5" s="49" t="s">
        <v>15</v>
      </c>
      <c r="P5" s="50" t="n">
        <v>11.4285714285714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1</v>
      </c>
      <c r="P6" s="62" t="s">
        <v>21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22</v>
      </c>
      <c r="B7" s="65" t="n">
        <v>23</v>
      </c>
      <c r="C7" s="66" t="n">
        <v>77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23</v>
      </c>
      <c r="P7" s="75" t="s">
        <v>24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25</v>
      </c>
      <c r="B8" s="40"/>
      <c r="C8" s="40"/>
      <c r="D8" s="54"/>
      <c r="E8" s="54"/>
      <c r="F8" s="77" t="s">
        <v>26</v>
      </c>
      <c r="G8" s="78"/>
      <c r="H8" s="54"/>
      <c r="I8" s="6"/>
      <c r="J8" s="69"/>
      <c r="K8" s="70"/>
      <c r="L8" s="71"/>
      <c r="M8" s="72"/>
      <c r="N8" s="79" t="s">
        <v>27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28</v>
      </c>
      <c r="B9" s="65" t="n">
        <v>0.600000023841858</v>
      </c>
      <c r="C9" s="66" t="n">
        <v>0.100000001490116</v>
      </c>
      <c r="D9" s="82"/>
      <c r="E9" s="82"/>
      <c r="F9" s="83" t="n">
        <f aca="false">($B9*$B$7+$C9*$C$7)/100</f>
        <v>0.215000006631017</v>
      </c>
      <c r="G9" s="84"/>
      <c r="H9" s="41"/>
      <c r="I9" s="6"/>
      <c r="J9" s="85"/>
      <c r="K9" s="86"/>
      <c r="L9" s="71"/>
      <c r="M9" s="87"/>
      <c r="N9" s="79" t="s">
        <v>29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30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31</v>
      </c>
      <c r="L10" s="92"/>
      <c r="M10" s="93"/>
      <c r="N10" s="79" t="s">
        <v>32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33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34</v>
      </c>
      <c r="K11" s="101"/>
      <c r="L11" s="102" t="n">
        <f aca="false">COUNTIF($G$23:$G$82,"=HET")</f>
        <v>0</v>
      </c>
      <c r="M11" s="103"/>
      <c r="N11" s="79" t="s">
        <v>35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36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37</v>
      </c>
      <c r="K12" s="101"/>
      <c r="L12" s="102" t="n">
        <f aca="false">COUNTIF($G$23:$G$82,"=ALG")</f>
        <v>0</v>
      </c>
      <c r="M12" s="103"/>
      <c r="N12" s="107"/>
      <c r="O12" s="108" t="s">
        <v>31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38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39</v>
      </c>
      <c r="K13" s="101"/>
      <c r="L13" s="102" t="n">
        <f aca="false">COUNTIF($G$23:$G$82,"=BRm")+COUNTIF($G$23:$G$82,"=BRh")</f>
        <v>0</v>
      </c>
      <c r="M13" s="103"/>
      <c r="N13" s="111" t="s">
        <v>40</v>
      </c>
      <c r="O13" s="112" t="n">
        <f aca="false">COUNTIF(F23:F82,"&gt;0")</f>
        <v>6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41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42</v>
      </c>
      <c r="K14" s="101"/>
      <c r="L14" s="102" t="n">
        <f aca="false">COUNTIF($G$23:$G$82,"=PTE")+COUNTIF($G$23:$G$82,"=LIC")</f>
        <v>0</v>
      </c>
      <c r="M14" s="103"/>
      <c r="N14" s="114" t="s">
        <v>43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44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45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46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47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48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49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50</v>
      </c>
      <c r="M17" s="129" t="n">
        <f aca="false">IF(ISERROR((O13-(COUNTIF(J23:J82,"nc")))/O13),"-",(O13-(COUNTIF(J23:J82,"nc")))/O13)</f>
        <v>1</v>
      </c>
      <c r="N17" s="111" t="s">
        <v>51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52</v>
      </c>
      <c r="B18" s="132"/>
      <c r="C18" s="133"/>
      <c r="D18" s="82"/>
      <c r="E18" s="134" t="s">
        <v>53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54</v>
      </c>
      <c r="B20" s="154" t="n">
        <f aca="false">SUM(B23:B82)</f>
        <v>0.640000015497208</v>
      </c>
      <c r="C20" s="155" t="n">
        <f aca="false">SUM(C23:C82)</f>
        <v>0.130000000819564</v>
      </c>
      <c r="D20" s="156"/>
      <c r="E20" s="157" t="s">
        <v>53</v>
      </c>
      <c r="F20" s="158" t="n">
        <f aca="false">($B20*$B$7+$C20*$C$7)/100</f>
        <v>0.247300004195422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55</v>
      </c>
      <c r="B21" s="166" t="n">
        <f aca="false">B20*B7/100</f>
        <v>0.147200003564358</v>
      </c>
      <c r="C21" s="166" t="n">
        <f aca="false">C20*C7/100</f>
        <v>0.100100000631064</v>
      </c>
      <c r="D21" s="167" t="s">
        <v>56</v>
      </c>
      <c r="E21" s="168"/>
      <c r="F21" s="169" t="n">
        <f aca="false">B21+C21</f>
        <v>0.247300004195422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57</v>
      </c>
    </row>
    <row r="22" customFormat="false" ht="12.75" hidden="false" customHeight="false" outlineLevel="0" collapsed="false">
      <c r="A22" s="178" t="s">
        <v>58</v>
      </c>
      <c r="B22" s="179" t="s">
        <v>59</v>
      </c>
      <c r="C22" s="179" t="s">
        <v>59</v>
      </c>
      <c r="D22" s="180"/>
      <c r="E22" s="181"/>
      <c r="F22" s="182" t="s">
        <v>60</v>
      </c>
      <c r="G22" s="183" t="s">
        <v>61</v>
      </c>
      <c r="H22" s="82" t="s">
        <v>62</v>
      </c>
      <c r="I22" s="6" t="s">
        <v>63</v>
      </c>
      <c r="J22" s="184" t="s">
        <v>64</v>
      </c>
      <c r="K22" s="184" t="s">
        <v>65</v>
      </c>
      <c r="L22" s="185" t="s">
        <v>66</v>
      </c>
      <c r="M22" s="185"/>
      <c r="N22" s="185"/>
      <c r="O22" s="185"/>
      <c r="P22" s="177" t="s">
        <v>67</v>
      </c>
      <c r="Q22" s="186" t="s">
        <v>68</v>
      </c>
      <c r="R22" s="187" t="s">
        <v>69</v>
      </c>
      <c r="S22" s="188" t="s">
        <v>70</v>
      </c>
      <c r="T22" s="189" t="s">
        <v>71</v>
      </c>
      <c r="U22" s="189" t="s">
        <v>72</v>
      </c>
      <c r="V22" s="190" t="s">
        <v>73</v>
      </c>
      <c r="W22" s="191" t="s">
        <v>74</v>
      </c>
      <c r="X22" s="191" t="s">
        <v>75</v>
      </c>
      <c r="Y22" s="192" t="s">
        <v>76</v>
      </c>
      <c r="Z22" s="192" t="s">
        <v>77</v>
      </c>
    </row>
    <row r="23" customFormat="false" ht="12.75" hidden="false" customHeight="false" outlineLevel="0" collapsed="false">
      <c r="A23" s="193" t="s">
        <v>78</v>
      </c>
      <c r="B23" s="194" t="n">
        <v>0.0199999995529652</v>
      </c>
      <c r="C23" s="195" t="n">
        <v>0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0.00459999989718199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79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CLASPX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80</v>
      </c>
      <c r="B24" s="211" t="n">
        <v>0.300000011920929</v>
      </c>
      <c r="C24" s="212" t="n">
        <v>0.00999999977648258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0.0767000025697052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79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FONANT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81</v>
      </c>
      <c r="B25" s="211" t="n">
        <v>0.00999999977648258</v>
      </c>
      <c r="C25" s="212" t="n">
        <v>0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0.00229999994859099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79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HYAFLU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82</v>
      </c>
      <c r="B26" s="211" t="n">
        <v>0.100000001490116</v>
      </c>
      <c r="C26" s="212" t="n">
        <v>0.00999999977648258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0.0307000001706183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79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RHYRIP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15</v>
      </c>
      <c r="B27" s="211" t="n">
        <v>0.200000002980232</v>
      </c>
      <c r="C27" s="212" t="n">
        <v>0.100000001490116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0.123000001832843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79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HILSPX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83</v>
      </c>
      <c r="B28" s="211" t="n">
        <v>0.00999999977648258</v>
      </c>
      <c r="C28" s="212" t="n">
        <v>0.00999999977648258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0.00999999977648258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79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LEASPX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/>
      <c r="B29" s="211"/>
      <c r="C29" s="212"/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str">
        <f aca="false">IF(AND(OR(A29="",A29="!!!!!!"),B29="",C29=""),"",IF(OR(AND(B29="",C29=""),ISERROR(C29+B29)),"!!!",($B29*$B$7+$C29*$C$7)/100))</f>
        <v/>
      </c>
      <c r="G29" s="216" t="str">
        <f aca="false">IF(A29="","",IF(ISERROR(VLOOKUP($A29,,9,0)),IF(ISERROR(VLOOKUP($A29,,8,0)),"    -",VLOOKUP($A29,,8,0)),VLOOKUP($A29,,9,0)))</f>
        <v/>
      </c>
      <c r="H29" s="217" t="str">
        <f aca="false">IF(A29="","x",IF(ISERROR(VLOOKUP($A29,,10,0)),IF(ISERROR(VLOOKUP($A29,,9,0)),"x",VLOOKUP($A29,,9,0)),VLOOKUP($A29,,10,0)))</f>
        <v>x</v>
      </c>
      <c r="I29" s="6" t="str">
        <f aca="false">IF(A29="","",1)</f>
        <v/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/>
      </c>
      <c r="M29" s="219"/>
      <c r="N29" s="219"/>
      <c r="O29" s="219"/>
      <c r="P29" s="220" t="s">
        <v>79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/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/>
      <c r="B30" s="211"/>
      <c r="C30" s="212"/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str">
        <f aca="false">IF(AND(OR(A30="",A30="!!!!!!"),B30="",C30=""),"",IF(OR(AND(B30="",C30=""),ISERROR(C30+B30)),"!!!",($B30*$B$7+$C30*$C$7)/100))</f>
        <v/>
      </c>
      <c r="G30" s="216" t="str">
        <f aca="false">IF(A30="","",IF(ISERROR(VLOOKUP($A30,,9,0)),IF(ISERROR(VLOOKUP($A30,,8,0)),"    -",VLOOKUP($A30,,8,0)),VLOOKUP($A30,,9,0)))</f>
        <v/>
      </c>
      <c r="H30" s="217" t="str">
        <f aca="false">IF(A30="","x",IF(ISERROR(VLOOKUP($A30,,10,0)),IF(ISERROR(VLOOKUP($A30,,9,0)),"x",VLOOKUP($A30,,9,0)),VLOOKUP($A30,,10,0)))</f>
        <v>x</v>
      </c>
      <c r="I30" s="6" t="str">
        <f aca="false">IF(A30="","",1)</f>
        <v/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/>
      </c>
      <c r="M30" s="219"/>
      <c r="N30" s="219"/>
      <c r="O30" s="219"/>
      <c r="P30" s="220" t="s">
        <v>79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/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/>
      <c r="B31" s="211"/>
      <c r="C31" s="212"/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str">
        <f aca="false">IF(AND(OR(A31="",A31="!!!!!!"),B31="",C31=""),"",IF(OR(AND(B31="",C31=""),ISERROR(C31+B31)),"!!!",($B31*$B$7+$C31*$C$7)/100))</f>
        <v/>
      </c>
      <c r="G31" s="216" t="str">
        <f aca="false">IF(A31="","",IF(ISERROR(VLOOKUP($A31,,9,0)),IF(ISERROR(VLOOKUP($A31,,8,0)),"    -",VLOOKUP($A31,,8,0)),VLOOKUP($A31,,9,0)))</f>
        <v/>
      </c>
      <c r="H31" s="217" t="str">
        <f aca="false">IF(A31="","x",IF(ISERROR(VLOOKUP($A31,,10,0)),IF(ISERROR(VLOOKUP($A31,,9,0)),"x",VLOOKUP($A31,,9,0)),VLOOKUP($A31,,10,0)))</f>
        <v>x</v>
      </c>
      <c r="I31" s="6" t="str">
        <f aca="false">IF(A31="","",1)</f>
        <v/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/>
      </c>
      <c r="M31" s="219"/>
      <c r="N31" s="219"/>
      <c r="O31" s="219"/>
      <c r="P31" s="220" t="s">
        <v>79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/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/>
      <c r="B32" s="211"/>
      <c r="C32" s="212"/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str">
        <f aca="false">IF(AND(OR(A32="",A32="!!!!!!"),B32="",C32=""),"",IF(OR(AND(B32="",C32=""),ISERROR(C32+B32)),"!!!",($B32*$B$7+$C32*$C$7)/100))</f>
        <v/>
      </c>
      <c r="G32" s="216" t="str">
        <f aca="false">IF(A32="","",IF(ISERROR(VLOOKUP($A32,,9,0)),IF(ISERROR(VLOOKUP($A32,,8,0)),"    -",VLOOKUP($A32,,8,0)),VLOOKUP($A32,,9,0)))</f>
        <v/>
      </c>
      <c r="H32" s="217" t="str">
        <f aca="false">IF(A32="","x",IF(ISERROR(VLOOKUP($A32,,10,0)),IF(ISERROR(VLOOKUP($A32,,9,0)),"x",VLOOKUP($A32,,9,0)),VLOOKUP($A32,,10,0)))</f>
        <v>x</v>
      </c>
      <c r="I32" s="6" t="str">
        <f aca="false">IF(A32="","",1)</f>
        <v/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/>
      </c>
      <c r="M32" s="219"/>
      <c r="N32" s="219"/>
      <c r="O32" s="219"/>
      <c r="P32" s="220" t="s">
        <v>79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/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/>
      <c r="B33" s="211"/>
      <c r="C33" s="212"/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str">
        <f aca="false">IF(AND(OR(A33="",A33="!!!!!!"),B33="",C33=""),"",IF(OR(AND(B33="",C33=""),ISERROR(C33+B33)),"!!!",($B33*$B$7+$C33*$C$7)/100))</f>
        <v/>
      </c>
      <c r="G33" s="216" t="str">
        <f aca="false">IF(A33="","",IF(ISERROR(VLOOKUP($A33,,9,0)),IF(ISERROR(VLOOKUP($A33,,8,0)),"    -",VLOOKUP($A33,,8,0)),VLOOKUP($A33,,9,0)))</f>
        <v/>
      </c>
      <c r="H33" s="217" t="str">
        <f aca="false">IF(A33="","x",IF(ISERROR(VLOOKUP($A33,,10,0)),IF(ISERROR(VLOOKUP($A33,,9,0)),"x",VLOOKUP($A33,,9,0)),VLOOKUP($A33,,10,0)))</f>
        <v>x</v>
      </c>
      <c r="I33" s="6" t="str">
        <f aca="false">IF(A33="","",1)</f>
        <v/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/>
      </c>
      <c r="M33" s="219"/>
      <c r="N33" s="219"/>
      <c r="O33" s="219"/>
      <c r="P33" s="220" t="s">
        <v>79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/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/>
      <c r="B34" s="211"/>
      <c r="C34" s="212"/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str">
        <f aca="false">IF(AND(OR(A34="",A34="!!!!!!"),B34="",C34=""),"",IF(OR(AND(B34="",C34=""),ISERROR(C34+B34)),"!!!",($B34*$B$7+$C34*$C$7)/100))</f>
        <v/>
      </c>
      <c r="G34" s="216" t="str">
        <f aca="false">IF(A34="","",IF(ISERROR(VLOOKUP($A34,,9,0)),IF(ISERROR(VLOOKUP($A34,,8,0)),"    -",VLOOKUP($A34,,8,0)),VLOOKUP($A34,,9,0)))</f>
        <v/>
      </c>
      <c r="H34" s="217" t="str">
        <f aca="false">IF(A34="","x",IF(ISERROR(VLOOKUP($A34,,10,0)),IF(ISERROR(VLOOKUP($A34,,9,0)),"x",VLOOKUP($A34,,9,0)),VLOOKUP($A34,,10,0)))</f>
        <v>x</v>
      </c>
      <c r="I34" s="6" t="str">
        <f aca="false">IF(A34="","",1)</f>
        <v/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/>
      </c>
      <c r="M34" s="219"/>
      <c r="N34" s="219"/>
      <c r="O34" s="219"/>
      <c r="P34" s="220" t="s">
        <v>79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/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/>
      <c r="B35" s="211"/>
      <c r="C35" s="212"/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str">
        <f aca="false">IF(AND(OR(A35="",A35="!!!!!!"),B35="",C35=""),"",IF(OR(AND(B35="",C35=""),ISERROR(C35+B35)),"!!!",($B35*$B$7+$C35*$C$7)/100))</f>
        <v/>
      </c>
      <c r="G35" s="216" t="str">
        <f aca="false">IF(A35="","",IF(ISERROR(VLOOKUP($A35,,9,0)),IF(ISERROR(VLOOKUP($A35,,8,0)),"    -",VLOOKUP($A35,,8,0)),VLOOKUP($A35,,9,0)))</f>
        <v/>
      </c>
      <c r="H35" s="217" t="str">
        <f aca="false">IF(A35="","x",IF(ISERROR(VLOOKUP($A35,,10,0)),IF(ISERROR(VLOOKUP($A35,,9,0)),"x",VLOOKUP($A35,,9,0)),VLOOKUP($A35,,10,0)))</f>
        <v>x</v>
      </c>
      <c r="I35" s="6" t="str">
        <f aca="false">IF(A35="","",1)</f>
        <v/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/>
      </c>
      <c r="M35" s="219"/>
      <c r="N35" s="219"/>
      <c r="O35" s="219"/>
      <c r="P35" s="220" t="s">
        <v>79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/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str">
        <f aca="false">IF(AND(OR(A36="",A36="!!!!!!"),B36="",C36=""),"",IF(OR(AND(B36="",C36=""),ISERROR(C36+B36)),"!!!",($B36*$B$7+$C36*$C$7)/100))</f>
        <v/>
      </c>
      <c r="G36" s="216" t="str">
        <f aca="false">IF(A36="","",IF(ISERROR(VLOOKUP($A36,,9,0)),IF(ISERROR(VLOOKUP($A36,,8,0)),"    -",VLOOKUP($A36,,8,0)),VLOOKUP($A36,,9,0)))</f>
        <v/>
      </c>
      <c r="H36" s="217" t="str">
        <f aca="false">IF(A36="","x",IF(ISERROR(VLOOKUP($A36,,10,0)),IF(ISERROR(VLOOKUP($A36,,9,0)),"x",VLOOKUP($A36,,9,0)),VLOOKUP($A36,,10,0)))</f>
        <v>x</v>
      </c>
      <c r="I36" s="6" t="str">
        <f aca="false">IF(A36="","",1)</f>
        <v/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/>
      </c>
      <c r="M36" s="219"/>
      <c r="N36" s="219"/>
      <c r="O36" s="219"/>
      <c r="P36" s="220" t="s">
        <v>79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/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str">
        <f aca="false">IF(AND(OR(A37="",A37="!!!!!!"),B37="",C37=""),"",IF(OR(AND(B37="",C37=""),ISERROR(C37+B37)),"!!!",($B37*$B$7+$C37*$C$7)/100))</f>
        <v/>
      </c>
      <c r="G37" s="216" t="str">
        <f aca="false">IF(A37="","",IF(ISERROR(VLOOKUP($A37,,9,0)),IF(ISERROR(VLOOKUP($A37,,8,0)),"    -",VLOOKUP($A37,,8,0)),VLOOKUP($A37,,9,0)))</f>
        <v/>
      </c>
      <c r="H37" s="217" t="str">
        <f aca="false">IF(A37="","x",IF(ISERROR(VLOOKUP($A37,,10,0)),IF(ISERROR(VLOOKUP($A37,,9,0)),"x",VLOOKUP($A37,,9,0)),VLOOKUP($A37,,10,0)))</f>
        <v>x</v>
      </c>
      <c r="I37" s="6" t="str">
        <f aca="false">IF(A37="","",1)</f>
        <v/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/>
      </c>
      <c r="M37" s="219"/>
      <c r="N37" s="219"/>
      <c r="O37" s="219"/>
      <c r="P37" s="220" t="s">
        <v>79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/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79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79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79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79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79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79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79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79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79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79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79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79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79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79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79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79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79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79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79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79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79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79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79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79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79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79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79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79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79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79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79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79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79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79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79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79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79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79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79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79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79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79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79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79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79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0.247300004195422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goutte du Moulin</v>
      </c>
      <c r="B84" s="175" t="str">
        <f aca="false">C3</f>
        <v>RAU DU BOST À BUSSY-ALBIEUX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6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0.247300004195422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84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85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86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87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88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89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90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91</v>
      </c>
      <c r="S93" s="6"/>
      <c r="T93" s="207" t="str">
        <f aca="false">INDEX($A$23:$A$82,$T$92)</f>
        <v>CLASPX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2024-06-19T17:13:18Z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