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5300" sheetId="1" state="visible" r:id="rId3"/>
  </sheets>
  <externalReferences>
    <externalReference r:id="rId4"/>
  </externalReferences>
  <definedNames>
    <definedName function="false" hidden="false" localSheetId="0" name="_xlnm.Print_Area" vbProcedure="false">'04015300'!$A$1:$O$82</definedName>
    <definedName function="false" hidden="false" localSheetId="0" name="Excel_BuiltIn__FilterDatabase" vbProcedure="false">'04015300'!$A$23:$J$84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<sst xmlns="http://schemas.openxmlformats.org/spreadsheetml/2006/main" count="105" uniqueCount="101">
  <si>
    <t xml:space="preserve">Relevés floristiques aquatiques - IBMR</t>
  </si>
  <si>
    <t xml:space="preserve">GIS Macrophytes - juillet 2006</t>
  </si>
  <si>
    <t xml:space="preserve">AQUASCOP</t>
  </si>
  <si>
    <t xml:space="preserve">Vincent BOUCHAREYCHAS</t>
  </si>
  <si>
    <t xml:space="preserve">conforme AFNOR T90-395 oct. 2003</t>
  </si>
  <si>
    <t xml:space="preserve">SORNIN</t>
  </si>
  <si>
    <t xml:space="preserve">Charlieu</t>
  </si>
  <si>
    <t xml:space="preserve">04015300</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</si>
  <si>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</si>
  <si>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</si>
  <si>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</si>
  <si>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</si>
  <si>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</si>
  <si>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</si>
  <si>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</si>
  <si>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</si>
  <si>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</si>
  <si>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</si>
  <si>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</si>
  <si>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</si>
  <si>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</si>
  <si>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</si>
  <si>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</si>
  <si>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</si>
  <si>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</si>
  <si>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</si>
  <si>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</si>
  <si>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</si>
  <si>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</si>
  <si>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</si>
  <si>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</si>
  <si>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</si>
  <si>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</si>
  <si>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</si>
  <si>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</si>
  <si>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</si>
  <si>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</si>
  <si>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</si>
  <si>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</si>
  <si>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</si>
  <si>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</si>
  <si>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</si>
  <si>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</si>
  <si>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</si>
  <si>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</si>
  <si>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</si>
  <si>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</si>
  <si>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</si>
  <si>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</si>
  <si>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</si>
  <si>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</si>
  <si>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</si>
  <si>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</si>
  <si>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</si>
  <si>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</si>
  <si>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</si>
  <si>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</si>
  <si>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</si>
  <si>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</si>
  <si>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</si>
  <si>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</si>
  <si>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</si>
  <si>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</si>
  <si>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</si>
  <si>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</si>
  <si>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</si>
  <si>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</si>
  <si>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</si>
  <si>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</si>
  <si>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</si>
  <si>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</si>
  <si>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</si>
  <si>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</si>
  <si>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</si>
  <si>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</si>
  <si>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</si>
  <si>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</si>
  <si>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MEL.SPX</t>
  </si>
  <si>
    <t xml:space="preserve">OED.SPX</t>
  </si>
  <si>
    <t xml:space="preserve">RHI.SPX</t>
  </si>
  <si>
    <t xml:space="preserve">SPI.SPX</t>
  </si>
  <si>
    <t xml:space="preserve">AMB.RIP</t>
  </si>
  <si>
    <t xml:space="preserve">FIS.CRA</t>
  </si>
  <si>
    <t xml:space="preserve">FON.ANT</t>
  </si>
  <si>
    <t xml:space="preserve">OCT.FON</t>
  </si>
  <si>
    <t xml:space="preserve">RHY.RIP</t>
  </si>
  <si>
    <t xml:space="preserve">LEM.MIN</t>
  </si>
  <si>
    <t xml:space="preserve">MYR.SPI</t>
  </si>
  <si>
    <t xml:space="preserve">SPR.POL</t>
  </si>
  <si>
    <t xml:space="preserve">AGR.STO</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</si>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</sst>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9.23076923076923</v>
      </c>
      <c r="M5" s="51"/>
      <c r="N5" s="52" t="s">
        <v>15</v>
      </c>
      <c r="O5" s="53" t="n">
        <v>8.57142857142857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38</v>
      </c>
      <c r="C7" s="65" t="n">
        <v>62</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9.31578947368421</v>
      </c>
      <c r="O8" s="82" t="n">
        <f aca="false">AVERAGE(J23:J82)</f>
        <v>1.63157894736842</v>
      </c>
      <c r="P8" s="8"/>
      <c r="Q8" s="8"/>
      <c r="R8" s="8"/>
      <c r="S8" s="8"/>
      <c r="T8" s="8"/>
      <c r="U8" s="8"/>
      <c r="V8" s="20"/>
      <c r="W8" s="21"/>
    </row>
    <row r="9" customFormat="false" ht="12.75" hidden="false" customHeight="false" outlineLevel="0" collapsed="false">
      <c r="A9" s="83" t="s">
        <v>28</v>
      </c>
      <c r="B9" s="84" t="n">
        <v>2.08</v>
      </c>
      <c r="C9" s="85" t="n">
        <v>0.8</v>
      </c>
      <c r="D9" s="86"/>
      <c r="E9" s="86"/>
      <c r="F9" s="87" t="n">
        <f aca="false">($B9*$B$7+$C9*$C$7)/100</f>
        <v>1.2864</v>
      </c>
      <c r="G9" s="88"/>
      <c r="H9" s="89"/>
      <c r="I9" s="90"/>
      <c r="J9" s="91"/>
      <c r="K9" s="71"/>
      <c r="L9" s="92"/>
      <c r="M9" s="80" t="s">
        <v>29</v>
      </c>
      <c r="N9" s="81" t="n">
        <f aca="false">STDEV(I23:I82)</f>
        <v>3.19813542168536</v>
      </c>
      <c r="O9" s="82" t="n">
        <f aca="false">STDEV(J23:J82)</f>
        <v>0.597264720370147</v>
      </c>
      <c r="P9" s="8"/>
      <c r="Q9" s="8"/>
      <c r="R9" s="8"/>
      <c r="S9" s="8"/>
      <c r="T9" s="8"/>
      <c r="U9" s="8"/>
      <c r="V9" s="93"/>
      <c r="W9" s="94"/>
    </row>
    <row r="10" customFormat="false" ht="12.75" hidden="false" customHeight="false" outlineLevel="0" collapsed="false">
      <c r="A10" s="95" t="s">
        <v>30</v>
      </c>
      <c r="B10" s="96" t="n">
        <v>20</v>
      </c>
      <c r="C10" s="97" t="n">
        <v>15</v>
      </c>
      <c r="D10" s="98"/>
      <c r="E10" s="98"/>
      <c r="F10" s="87" t="n">
        <f aca="false">($B10*$B$7+$C10*$C$7)/100</f>
        <v>16.9</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0.83</v>
      </c>
      <c r="C12" s="117" t="n">
        <v>0.115</v>
      </c>
      <c r="D12" s="109"/>
      <c r="E12" s="109"/>
      <c r="F12" s="110" t="n">
        <f aca="false">($B12*$B$7+$C12*$C$7)/100</f>
        <v>0.3867</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t="n">
        <v>0.835</v>
      </c>
      <c r="C13" s="117" t="n">
        <v>0.165</v>
      </c>
      <c r="D13" s="109"/>
      <c r="E13" s="109"/>
      <c r="F13" s="110" t="n">
        <f aca="false">($B13*$B$7+$C13*$C$7)/100</f>
        <v>0.4196</v>
      </c>
      <c r="G13" s="118"/>
      <c r="H13" s="66"/>
      <c r="I13" s="119" t="s">
        <v>39</v>
      </c>
      <c r="J13" s="119"/>
      <c r="K13" s="113" t="n">
        <f aca="false">COUNTIF($G$23:$G$82,"=BRm")+COUNTIF($G$23:$G$82,"=BRh")</f>
        <v>5</v>
      </c>
      <c r="L13" s="114"/>
      <c r="M13" s="124" t="s">
        <v>40</v>
      </c>
      <c r="N13" s="125" t="n">
        <f aca="false">COUNTIF(F23:F82,"&gt;0")</f>
        <v>19</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19</v>
      </c>
      <c r="O14" s="129"/>
      <c r="P14" s="8"/>
      <c r="Q14" s="8"/>
      <c r="R14" s="8"/>
      <c r="S14" s="8"/>
      <c r="T14" s="8"/>
      <c r="U14" s="8"/>
    </row>
    <row r="15" customFormat="false" ht="12.75" hidden="false" customHeight="false" outlineLevel="0" collapsed="false">
      <c r="A15" s="130" t="s">
        <v>44</v>
      </c>
      <c r="B15" s="131" t="n">
        <v>0.415</v>
      </c>
      <c r="C15" s="132" t="n">
        <v>0.52</v>
      </c>
      <c r="D15" s="109"/>
      <c r="E15" s="109"/>
      <c r="F15" s="110" t="n">
        <f aca="false">($B15*$B$7+$C15*$C$7)/100</f>
        <v>0.4801</v>
      </c>
      <c r="G15" s="118"/>
      <c r="H15" s="66"/>
      <c r="I15" s="119" t="s">
        <v>45</v>
      </c>
      <c r="J15" s="119"/>
      <c r="K15" s="113" t="n">
        <f aca="false">(COUNTIF($G$23:$G$82,"=PHy"))+(COUNTIF($G$23:$G$82,"=PHe"))+(COUNTIF($G$23:$G$82,"=PHg"))+(COUNTIF($G$23:$G$82,"=PHx"))</f>
        <v>6</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t="n">
        <v>0.005</v>
      </c>
      <c r="C16" s="108" t="n">
        <v>0.01</v>
      </c>
      <c r="D16" s="136"/>
      <c r="E16" s="136"/>
      <c r="F16" s="137"/>
      <c r="G16" s="137" t="n">
        <f aca="false">($B16*$B$7+$C16*$C$7)/100</f>
        <v>0.0081</v>
      </c>
      <c r="H16" s="66"/>
      <c r="I16" s="119"/>
      <c r="J16" s="138"/>
      <c r="K16" s="138"/>
      <c r="L16" s="114"/>
      <c r="M16" s="133" t="s">
        <v>48</v>
      </c>
      <c r="N16" s="134" t="n">
        <f aca="false">COUNTIF(J23:J82,"=2")</f>
        <v>10</v>
      </c>
      <c r="O16" s="135"/>
      <c r="P16" s="8"/>
      <c r="Q16" s="8"/>
      <c r="R16" s="8"/>
      <c r="S16" s="8"/>
      <c r="T16" s="8"/>
      <c r="U16" s="8"/>
    </row>
    <row r="17" customFormat="false" ht="12.75" hidden="false" customHeight="false" outlineLevel="0" collapsed="false">
      <c r="A17" s="115" t="s">
        <v>49</v>
      </c>
      <c r="B17" s="116" t="n">
        <v>1.965</v>
      </c>
      <c r="C17" s="117" t="n">
        <v>0.48</v>
      </c>
      <c r="D17" s="109"/>
      <c r="E17" s="109"/>
      <c r="F17" s="139"/>
      <c r="G17" s="110" t="n">
        <f aca="false">($B17*$B$7+$C17*$C$7)/100</f>
        <v>1.0443</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0.11</v>
      </c>
      <c r="C18" s="142" t="n">
        <v>0.31</v>
      </c>
      <c r="D18" s="109"/>
      <c r="E18" s="143" t="s">
        <v>52</v>
      </c>
      <c r="F18" s="139"/>
      <c r="G18" s="110" t="n">
        <f aca="false">($B18*$B$7+$C18*$C$7)/100</f>
        <v>0.234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1.2864</v>
      </c>
      <c r="G19" s="151" t="n">
        <f aca="false">SUM(G16:G18)</f>
        <v>1.2864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2.08</v>
      </c>
      <c r="C20" s="160" t="n">
        <f aca="false">SUM(C23:C82)</f>
        <v>0.8</v>
      </c>
      <c r="D20" s="161"/>
      <c r="E20" s="162" t="s">
        <v>52</v>
      </c>
      <c r="F20" s="163" t="n">
        <f aca="false">($B20*$B$7+$C20*$C$7)/100</f>
        <v>1.2864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0.7904</v>
      </c>
      <c r="C21" s="172" t="n">
        <f aca="false">C20*C7/100</f>
        <v>0.496</v>
      </c>
      <c r="D21" s="109" t="str">
        <f aca="false">IF(F21=0,"",IF((ABS(F21-F19))&gt;(0.2*F21),CONCATENATE(" rec. par taxa (",F21," %) supérieur à 20 % !"),""))</f>
        <v/>
      </c>
      <c r="E21" s="173" t="str">
        <f aca="false">IF(F21=0,"",IF((ABS(F21-F19))&gt;(0.2*F21),CONCATENATE("ATTENTION : écart entre rec. par grp (",F19," %) ","et",""),""))</f>
        <v/>
      </c>
      <c r="F21" s="174" t="n">
        <f aca="false">B21+C21</f>
        <v>1.2864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t="n">
        <v>0.005</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W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0.05</v>
      </c>
      <c r="C24" s="214"/>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0.019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0.019</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15</v>
      </c>
      <c r="B25" s="213" t="n">
        <v>0.6</v>
      </c>
      <c r="C25" s="214" t="n">
        <v>0.1</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0.29</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0.29</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0.01</v>
      </c>
      <c r="C26" s="214" t="n">
        <v>0.005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0.0069</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2"/>
      <c r="M26" s="222"/>
      <c r="N26" s="222"/>
      <c r="O26" s="223"/>
      <c r="P26" s="206" t="n">
        <f aca="false">IF(ISTEXT(H26),"",(B26*$B$7/100)+(C26*$C$7/100))</f>
        <v>0.0069</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0.005</v>
      </c>
      <c r="C27" s="214"/>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0.0019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0.0019</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24"/>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0.15</v>
      </c>
      <c r="C28" s="214" t="n">
        <v>0.005</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0.0601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0.0601</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79</v>
      </c>
      <c r="B29" s="213" t="n">
        <v>0.005</v>
      </c>
      <c r="C29" s="214"/>
      <c r="D29" s="215" t="str">
        <f aca="false">IF(ISERROR(VLOOKUP($A29,'[1]liste reference'!$A$7:$D$906,2,0)),IF(ISERROR(VLOOKUP($A29,'[1]liste reference'!$B$7:$D$906,1,0)),"",VLOOKUP($A29,'[1]liste reference'!$B$7:$D$906,1,0)),VLOOKUP($A29,'[1]liste reference'!$A$7:$D$906,2,0))</f>
        <v>Rhizoclonium sp.       </v>
      </c>
      <c r="E29" s="215" t="e">
        <f aca="false">IF(D29="",0,VLOOKUP(D29,D$22:D28,1,0))</f>
        <v>#N/A</v>
      </c>
      <c r="F29" s="216" t="n">
        <f aca="false">($B29*$B$7+$C29*$C$7)/100</f>
        <v>0.0019</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Rhizoclonium sp.       </v>
      </c>
      <c r="L29" s="220"/>
      <c r="M29" s="220"/>
      <c r="N29" s="220"/>
      <c r="O29" s="205"/>
      <c r="P29" s="206" t="n">
        <f aca="false">IF(ISTEXT(H29),"",(B29*$B$7/100)+(C29*$C$7/100))</f>
        <v>0.0019</v>
      </c>
      <c r="Q29" s="207" t="n">
        <f aca="false">IF(OR(ISTEXT(H29),P29=0),"",IF(P29&lt;0.1,1,IF(P29&lt;1,2,IF(P29&lt;10,3,IF(P29&lt;50,4,IF(P29&gt;=50,5,""))))))</f>
        <v>1</v>
      </c>
      <c r="R29" s="207" t="n">
        <f aca="false">IF(ISERROR(Q29*I29),0,Q29*I29)</f>
        <v>4</v>
      </c>
      <c r="S29" s="207" t="n">
        <f aca="false">IF(ISERROR(Q29*I29*J29),0,Q29*I29*J29)</f>
        <v>8</v>
      </c>
      <c r="T29" s="221" t="n">
        <f aca="false">IF(ISERROR(Q29*J29),0,Q29*J29)</f>
        <v>2</v>
      </c>
      <c r="U29" s="208" t="str">
        <f aca="false">IF(AND(A29="",F29=0),"",IF(F29=0,"Il manque le(s) % de rec. !",""))</f>
        <v/>
      </c>
      <c r="V29" s="209"/>
      <c r="X29" s="207" t="str">
        <f aca="false">IF(A29="new.cod","NEW.COD",IF(AND((Y29=""),ISTEXT(A29)),A29,IF(Y29="","",INDEX('[1]liste reference'!$A$7:$A$906,Y29))))</f>
        <v>RHI.SPX</v>
      </c>
      <c r="Y29" s="8" t="n">
        <f aca="false">IF(ISERROR(MATCH(A29,'[1]liste reference'!$A$7:$A$906,0)),IF(ISERROR(MATCH(A29,'[1]liste reference'!$B$7:$B$906,0)),"",(MATCH(A29,'[1]liste reference'!$B$7:$B$906,0))),(MATCH(A29,'[1]liste reference'!$A$7:$A$906,0)))</f>
        <v>63</v>
      </c>
      <c r="Z29" s="210"/>
      <c r="AA29" s="211"/>
      <c r="BB29" s="8" t="n">
        <f aca="false">IF(A29="","",1)</f>
        <v>1</v>
      </c>
    </row>
    <row r="30" customFormat="false" ht="12.75" hidden="false" customHeight="false" outlineLevel="0" collapsed="false">
      <c r="A30" s="212" t="s">
        <v>80</v>
      </c>
      <c r="B30" s="213" t="n">
        <v>0.005</v>
      </c>
      <c r="C30" s="214"/>
      <c r="D30" s="215" t="str">
        <f aca="false">IF(ISERROR(VLOOKUP($A30,'[1]liste reference'!$A$7:$D$906,2,0)),IF(ISERROR(VLOOKUP($A30,'[1]liste reference'!$B$7:$D$906,1,0)),"",VLOOKUP($A30,'[1]liste reference'!$B$7:$D$906,1,0)),VLOOKUP($A30,'[1]liste reference'!$A$7:$D$906,2,0))</f>
        <v>Spirogyra sp.       </v>
      </c>
      <c r="E30" s="215" t="e">
        <f aca="false">IF(D30="",0,VLOOKUP(D30,D$22:D29,1,0))</f>
        <v>#N/A</v>
      </c>
      <c r="F30" s="216" t="n">
        <f aca="false">($B30*$B$7+$C30*$C$7)/100</f>
        <v>0.0019</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0"/>
      <c r="M30" s="220"/>
      <c r="N30" s="220"/>
      <c r="O30" s="205"/>
      <c r="P30" s="206" t="n">
        <f aca="false">IF(ISTEXT(H30),"",(B30*$B$7/100)+(C30*$C$7/100))</f>
        <v>0.0019</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W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81</v>
      </c>
      <c r="B31" s="213" t="n">
        <v>0.005</v>
      </c>
      <c r="C31" s="214"/>
      <c r="D31" s="215" t="str">
        <f aca="false">IF(ISERROR(VLOOKUP($A31,'[1]liste reference'!$A$7:$D$906,2,0)),IF(ISERROR(VLOOKUP($A31,'[1]liste reference'!$B$7:$D$906,1,0)),"",VLOOKUP($A31,'[1]liste reference'!$B$7:$D$906,1,0)),VLOOKUP($A31,'[1]liste reference'!$A$7:$D$906,2,0))</f>
        <v>Amblystegium riparium (Leptodictyum riparium)</v>
      </c>
      <c r="E31" s="215" t="e">
        <f aca="false">IF(D31="",0,VLOOKUP(D31,D$22:D30,1,0))</f>
        <v>#N/A</v>
      </c>
      <c r="F31" s="216" t="n">
        <f aca="false">($B31*$B$7+$C31*$C$7)/100</f>
        <v>0.0019</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2"/>
      <c r="M31" s="222"/>
      <c r="N31" s="222"/>
      <c r="O31" s="223"/>
      <c r="P31" s="206" t="n">
        <f aca="false">IF(ISTEXT(H31),"",(B31*$B$7/100)+(C31*$C$7/100))</f>
        <v>0.0019</v>
      </c>
      <c r="Q31" s="207" t="n">
        <f aca="false">IF(OR(ISTEXT(H31),P31=0),"",IF(P31&lt;0.1,1,IF(P31&lt;1,2,IF(P31&lt;10,3,IF(P31&lt;50,4,IF(P31&gt;=50,5,""))))))</f>
        <v>1</v>
      </c>
      <c r="R31" s="207" t="n">
        <f aca="false">IF(ISERROR(Q31*I31),0,Q31*I31)</f>
        <v>5</v>
      </c>
      <c r="S31" s="207" t="n">
        <f aca="false">IF(ISERROR(Q31*I31*J31),0,Q31*I31*J31)</f>
        <v>10</v>
      </c>
      <c r="T31" s="221" t="n">
        <f aca="false">IF(ISERROR(Q31*J31),0,Q31*J31)</f>
        <v>2</v>
      </c>
      <c r="U31" s="208" t="str">
        <f aca="false">IF(AND(A31="",F31=0),"",IF(F31=0,"Il manque le(s) % de rec. !",""))</f>
        <v/>
      </c>
      <c r="V31" s="209"/>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82</v>
      </c>
      <c r="B32" s="213" t="n">
        <v>0.01</v>
      </c>
      <c r="C32" s="214" t="n">
        <v>0.005</v>
      </c>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0.0069</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0.0069</v>
      </c>
      <c r="Q32" s="207" t="n">
        <f aca="false">IF(OR(ISTEXT(H32),P32=0),"",IF(P32&lt;0.1,1,IF(P32&lt;1,2,IF(P32&lt;10,3,IF(P32&lt;50,4,IF(P32&gt;=50,5,""))))))</f>
        <v>1</v>
      </c>
      <c r="R32" s="207" t="n">
        <f aca="false">IF(ISERROR(Q32*I32),0,Q32*I32)</f>
        <v>12</v>
      </c>
      <c r="S32" s="207" t="n">
        <f aca="false">IF(ISERROR(Q32*I32*J32),0,Q32*I32*J32)</f>
        <v>24</v>
      </c>
      <c r="T32" s="221"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83</v>
      </c>
      <c r="B33" s="213" t="n">
        <v>0.01</v>
      </c>
      <c r="C33" s="214" t="n">
        <v>0.005</v>
      </c>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0.0069</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0"/>
      <c r="M33" s="220"/>
      <c r="N33" s="220"/>
      <c r="O33" s="205"/>
      <c r="P33" s="206" t="n">
        <f aca="false">IF(ISTEXT(H33),"",(B33*$B$7/100)+(C33*$C$7/100))</f>
        <v>0.0069</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0"/>
      <c r="AA33" s="211"/>
      <c r="BB33" s="8" t="n">
        <f aca="false">IF(A33="","",1)</f>
        <v>1</v>
      </c>
    </row>
    <row r="34" customFormat="false" ht="12.75" hidden="false" customHeight="false" outlineLevel="0" collapsed="false">
      <c r="A34" s="212" t="s">
        <v>84</v>
      </c>
      <c r="B34" s="213" t="n">
        <v>0.8</v>
      </c>
      <c r="C34" s="214" t="n">
        <v>0.15</v>
      </c>
      <c r="D34" s="215" t="str">
        <f aca="false">IF(ISERROR(VLOOKUP($A34,'[1]liste reference'!$A$7:$D$906,2,0)),IF(ISERROR(VLOOKUP($A34,'[1]liste reference'!$B$7:$D$906,1,0)),"",VLOOKUP($A34,'[1]liste reference'!$B$7:$D$906,1,0)),VLOOKUP($A34,'[1]liste reference'!$A$7:$D$906,2,0))</f>
        <v>Octodiceras fontanum</v>
      </c>
      <c r="E34" s="215" t="e">
        <f aca="false">IF(D34="",0,VLOOKUP(D34,D$22:D33,1,0))</f>
        <v>#N/A</v>
      </c>
      <c r="F34" s="225" t="n">
        <f aca="false">($B34*$B$7+$C34*$C$7)/100</f>
        <v>0.397</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Octodiceras fontanum</v>
      </c>
      <c r="L34" s="220"/>
      <c r="M34" s="220"/>
      <c r="N34" s="220"/>
      <c r="O34" s="205"/>
      <c r="P34" s="206" t="n">
        <f aca="false">IF(ISTEXT(H34),"",(B34*$B$7/100)+(C34*$C$7/100))</f>
        <v>0.397</v>
      </c>
      <c r="Q34" s="207" t="n">
        <f aca="false">IF(OR(ISTEXT(H34),P34=0),"",IF(P34&lt;0.1,1,IF(P34&lt;1,2,IF(P34&lt;10,3,IF(P34&lt;50,4,IF(P34&gt;=50,5,""))))))</f>
        <v>2</v>
      </c>
      <c r="R34" s="207" t="n">
        <f aca="false">IF(ISERROR(Q34*I34),0,Q34*I34)</f>
        <v>14</v>
      </c>
      <c r="S34" s="207" t="n">
        <f aca="false">IF(ISERROR(Q34*I34*J34),0,Q34*I34*J34)</f>
        <v>42</v>
      </c>
      <c r="T34" s="221" t="n">
        <f aca="false">IF(ISERROR(Q34*J34),0,Q34*J34)</f>
        <v>6</v>
      </c>
      <c r="U34" s="208" t="str">
        <f aca="false">IF(AND(A34="",F34=0),"",IF(F34=0,"Il manque le(s) % de rec. !",""))</f>
        <v/>
      </c>
      <c r="V34" s="209"/>
      <c r="X34" s="207" t="str">
        <f aca="false">IF(A34="new.cod","NEW.COD",IF(AND((Y34=""),ISTEXT(A34)),A34,IF(Y34="","",INDEX('[1]liste reference'!$A$7:$A$906,Y34))))</f>
        <v>OCT.FON</v>
      </c>
      <c r="Y34" s="8" t="n">
        <f aca="false">IF(ISERROR(MATCH(A34,'[1]liste reference'!$A$7:$A$906,0)),IF(ISERROR(MATCH(A34,'[1]liste reference'!$B$7:$B$906,0)),"",(MATCH(A34,'[1]liste reference'!$B$7:$B$906,0))),(MATCH(A34,'[1]liste reference'!$A$7:$A$906,0)))</f>
        <v>229</v>
      </c>
      <c r="Z34" s="210"/>
      <c r="AA34" s="211"/>
      <c r="BB34" s="8" t="n">
        <f aca="false">IF(A34="","",1)</f>
        <v>1</v>
      </c>
    </row>
    <row r="35" customFormat="false" ht="12.75" hidden="false" customHeight="false" outlineLevel="0" collapsed="false">
      <c r="A35" s="212" t="s">
        <v>85</v>
      </c>
      <c r="B35" s="213" t="n">
        <v>0.01</v>
      </c>
      <c r="C35" s="214" t="n">
        <v>0.005</v>
      </c>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5" t="n">
        <f aca="false">($B35*$B$7+$C35*$C$7)/100</f>
        <v>0.0069</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0.0069</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t="s">
        <v>86</v>
      </c>
      <c r="B36" s="213" t="n">
        <v>0.005</v>
      </c>
      <c r="C36" s="214" t="n">
        <v>0.005</v>
      </c>
      <c r="D36" s="215" t="str">
        <f aca="false">IF(ISERROR(VLOOKUP($A36,'[1]liste reference'!$A$7:$D$906,2,0)),IF(ISERROR(VLOOKUP($A36,'[1]liste reference'!$B$7:$D$906,1,0)),"",VLOOKUP($A36,'[1]liste reference'!$B$7:$D$906,1,0)),VLOOKUP($A36,'[1]liste reference'!$A$7:$D$906,2,0))</f>
        <v>Lemna minor</v>
      </c>
      <c r="E36" s="215" t="e">
        <f aca="false">IF(D36="",0,VLOOKUP(D36,D$22:D35,1,0))</f>
        <v>#N/A</v>
      </c>
      <c r="F36" s="225" t="n">
        <f aca="false">($B36*$B$7+$C36*$C$7)/100</f>
        <v>0.005</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Lemna minor</v>
      </c>
      <c r="L36" s="220"/>
      <c r="M36" s="220"/>
      <c r="N36" s="220"/>
      <c r="O36" s="205"/>
      <c r="P36" s="206" t="n">
        <f aca="false">IF(ISTEXT(H36),"",(B36*$B$7/100)+(C36*$C$7/100))</f>
        <v>0.005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LEM.MIN</v>
      </c>
      <c r="Y36" s="8" t="n">
        <f aca="false">IF(ISERROR(MATCH(A36,'[1]liste reference'!$A$7:$A$906,0)),IF(ISERROR(MATCH(A36,'[1]liste reference'!$B$7:$B$906,0)),"",(MATCH(A36,'[1]liste reference'!$B$7:$B$906,0))),(MATCH(A36,'[1]liste reference'!$A$7:$A$906,0)))</f>
        <v>361</v>
      </c>
      <c r="Z36" s="210"/>
      <c r="AA36" s="211"/>
      <c r="BB36" s="8" t="n">
        <f aca="false">IF(A36="","",1)</f>
        <v>1</v>
      </c>
    </row>
    <row r="37" customFormat="false" ht="12.75" hidden="false" customHeight="false" outlineLevel="0" collapsed="false">
      <c r="A37" s="212" t="s">
        <v>87</v>
      </c>
      <c r="B37" s="213" t="n">
        <v>0.3</v>
      </c>
      <c r="C37" s="214" t="n">
        <v>0.2</v>
      </c>
      <c r="D37" s="215" t="str">
        <f aca="false">IF(ISERROR(VLOOKUP($A37,'[1]liste reference'!$A$7:$D$906,2,0)),IF(ISERROR(VLOOKUP($A37,'[1]liste reference'!$B$7:$D$906,1,0)),"",VLOOKUP($A37,'[1]liste reference'!$B$7:$D$906,1,0)),VLOOKUP($A37,'[1]liste reference'!$A$7:$D$906,2,0))</f>
        <v>Myriophyllum spicatum</v>
      </c>
      <c r="E37" s="215" t="e">
        <f aca="false">IF(D37="",0,VLOOKUP(D37,D$22:D36,1,0))</f>
        <v>#N/A</v>
      </c>
      <c r="F37" s="225" t="n">
        <f aca="false">($B37*$B$7+$C37*$C$7)/100</f>
        <v>0.238</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8</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Myriophyllum spicatum</v>
      </c>
      <c r="L37" s="220"/>
      <c r="M37" s="220"/>
      <c r="N37" s="220"/>
      <c r="O37" s="205"/>
      <c r="P37" s="206" t="n">
        <f aca="false">IF(ISTEXT(H37),"",(B37*$B$7/100)+(C37*$C$7/100))</f>
        <v>0.238</v>
      </c>
      <c r="Q37" s="207" t="n">
        <f aca="false">IF(OR(ISTEXT(H37),P37=0),"",IF(P37&lt;0.1,1,IF(P37&lt;1,2,IF(P37&lt;10,3,IF(P37&lt;50,4,IF(P37&gt;=50,5,""))))))</f>
        <v>2</v>
      </c>
      <c r="R37" s="207" t="n">
        <f aca="false">IF(ISERROR(Q37*I37),0,Q37*I37)</f>
        <v>16</v>
      </c>
      <c r="S37" s="207" t="n">
        <f aca="false">IF(ISERROR(Q37*I37*J37),0,Q37*I37*J37)</f>
        <v>32</v>
      </c>
      <c r="T37" s="221" t="n">
        <f aca="false">IF(ISERROR(Q37*J37),0,Q37*J37)</f>
        <v>4</v>
      </c>
      <c r="U37" s="208" t="str">
        <f aca="false">IF(AND(A37="",F37=0),"",IF(F37=0,"Il manque le(s) % de rec. !",""))</f>
        <v/>
      </c>
      <c r="V37" s="209"/>
      <c r="X37" s="207" t="str">
        <f aca="false">IF(A37="new.cod","NEW.COD",IF(AND((Y37=""),ISTEXT(A37)),A37,IF(Y37="","",INDEX('[1]liste reference'!$A$7:$A$906,Y37))))</f>
        <v>MYR.SPI</v>
      </c>
      <c r="Y37" s="8" t="n">
        <f aca="false">IF(ISERROR(MATCH(A37,'[1]liste reference'!$A$7:$A$906,0)),IF(ISERROR(MATCH(A37,'[1]liste reference'!$B$7:$B$906,0)),"",(MATCH(A37,'[1]liste reference'!$B$7:$B$906,0))),(MATCH(A37,'[1]liste reference'!$A$7:$A$906,0)))</f>
        <v>377</v>
      </c>
      <c r="Z37" s="210"/>
      <c r="AA37" s="211"/>
      <c r="BB37" s="8" t="n">
        <f aca="false">IF(A37="","",1)</f>
        <v>1</v>
      </c>
    </row>
    <row r="38" customFormat="false" ht="12.75" hidden="false" customHeight="false" outlineLevel="0" collapsed="false">
      <c r="A38" s="212" t="s">
        <v>88</v>
      </c>
      <c r="B38" s="213"/>
      <c r="C38" s="214" t="n">
        <v>0.005</v>
      </c>
      <c r="D38" s="215" t="str">
        <f aca="false">IF(ISERROR(VLOOKUP($A38,'[1]liste reference'!$A$7:$D$906,2,0)),IF(ISERROR(VLOOKUP($A38,'[1]liste reference'!$B$7:$D$906,1,0)),"",VLOOKUP($A38,'[1]liste reference'!$B$7:$D$906,1,0)),VLOOKUP($A38,'[1]liste reference'!$A$7:$D$906,2,0))</f>
        <v>Spirodela polyrhiza</v>
      </c>
      <c r="E38" s="215" t="e">
        <f aca="false">IF(D38="",0,VLOOKUP(D38,D$22:D37,1,0))</f>
        <v>#N/A</v>
      </c>
      <c r="F38" s="225" t="n">
        <f aca="false">($B38*$B$7+$C38*$C$7)/100</f>
        <v>0.0031</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6</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Spirodela polyrhiza</v>
      </c>
      <c r="L38" s="220"/>
      <c r="M38" s="220"/>
      <c r="N38" s="220"/>
      <c r="O38" s="205"/>
      <c r="P38" s="206" t="n">
        <f aca="false">IF(ISTEXT(H38),"",(B38*$B$7/100)+(C38*$C$7/100))</f>
        <v>0.0031</v>
      </c>
      <c r="Q38" s="207" t="n">
        <f aca="false">IF(OR(ISTEXT(H38),P38=0),"",IF(P38&lt;0.1,1,IF(P38&lt;1,2,IF(P38&lt;10,3,IF(P38&lt;50,4,IF(P38&gt;=50,5,""))))))</f>
        <v>1</v>
      </c>
      <c r="R38" s="207" t="n">
        <f aca="false">IF(ISERROR(Q38*I38),0,Q38*I38)</f>
        <v>6</v>
      </c>
      <c r="S38" s="207" t="n">
        <f aca="false">IF(ISERROR(Q38*I38*J38),0,Q38*I38*J38)</f>
        <v>12</v>
      </c>
      <c r="T38" s="221" t="n">
        <f aca="false">IF(ISERROR(Q38*J38),0,Q38*J38)</f>
        <v>2</v>
      </c>
      <c r="U38" s="208" t="str">
        <f aca="false">IF(AND(A38="",F38=0),"",IF(F38=0,"Il manque le(s) % de rec. !",""))</f>
        <v/>
      </c>
      <c r="V38" s="209"/>
      <c r="X38" s="207" t="str">
        <f aca="false">IF(A38="new.cod","NEW.COD",IF(AND((Y38=""),ISTEXT(A38)),A38,IF(Y38="","",INDEX('[1]liste reference'!$A$7:$A$906,Y38))))</f>
        <v>SPR.POL</v>
      </c>
      <c r="Y38" s="8" t="n">
        <f aca="false">IF(ISERROR(MATCH(A38,'[1]liste reference'!$A$7:$A$906,0)),IF(ISERROR(MATCH(A38,'[1]liste reference'!$B$7:$B$906,0)),"",(MATCH(A38,'[1]liste reference'!$B$7:$B$906,0))),(MATCH(A38,'[1]liste reference'!$A$7:$A$906,0)))</f>
        <v>491</v>
      </c>
      <c r="Z38" s="210"/>
      <c r="AA38" s="211"/>
      <c r="BB38" s="8" t="n">
        <f aca="false">IF(A38="","",1)</f>
        <v>1</v>
      </c>
    </row>
    <row r="39" customFormat="false" ht="12.75" hidden="false" customHeight="false" outlineLevel="0" collapsed="false">
      <c r="A39" s="212" t="s">
        <v>89</v>
      </c>
      <c r="B39" s="213" t="n">
        <v>0.005</v>
      </c>
      <c r="C39" s="214" t="n">
        <v>0.005</v>
      </c>
      <c r="D39" s="215" t="str">
        <f aca="false">IF(ISERROR(VLOOKUP($A39,'[1]liste reference'!$A$7:$D$906,2,0)),IF(ISERROR(VLOOKUP($A39,'[1]liste reference'!$B$7:$D$906,1,0)),"",VLOOKUP($A39,'[1]liste reference'!$B$7:$D$906,1,0)),VLOOKUP($A39,'[1]liste reference'!$A$7:$D$906,2,0))</f>
        <v>Agrostis stolonifera</v>
      </c>
      <c r="E39" s="215" t="e">
        <f aca="false">IF(D39="",0,VLOOKUP(D39,D$21:D38,1,0))</f>
        <v>#N/A</v>
      </c>
      <c r="F39" s="225" t="n">
        <f aca="false">($B39*$B$7+$C39*$C$7)/100</f>
        <v>0.005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0.005</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W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90</v>
      </c>
      <c r="B40" s="213" t="n">
        <v>0.1</v>
      </c>
      <c r="C40" s="214" t="n">
        <v>0.3</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5" t="n">
        <f aca="false">($B40*$B$7+$C40*$C$7)/100</f>
        <v>0.224</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0"/>
      <c r="M40" s="220"/>
      <c r="N40" s="220"/>
      <c r="O40" s="205"/>
      <c r="P40" s="206" t="n">
        <f aca="false">IF(ISTEXT(H40),"",(B40*$B$7/100)+(C40*$C$7/100))</f>
        <v>0.224</v>
      </c>
      <c r="Q40" s="207" t="n">
        <f aca="false">IF(OR(ISTEXT(H40),P40=0),"",IF(P40&lt;0.1,1,IF(P40&lt;1,2,IF(P40&lt;10,3,IF(P40&lt;50,4,IF(P40&gt;=50,5,""))))))</f>
        <v>2</v>
      </c>
      <c r="R40" s="207" t="n">
        <f aca="false">IF(ISERROR(Q40*I40),0,Q40*I40)</f>
        <v>20</v>
      </c>
      <c r="S40" s="207" t="n">
        <f aca="false">IF(ISERROR(Q40*I40*J40),0,Q40*I40*J40)</f>
        <v>20</v>
      </c>
      <c r="T40" s="221" t="n">
        <f aca="false">IF(ISERROR(Q40*J40),0,Q40*J40)</f>
        <v>2</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212" t="s">
        <v>91</v>
      </c>
      <c r="B41" s="213" t="n">
        <v>0.005</v>
      </c>
      <c r="C41" s="214" t="n">
        <v>0.005</v>
      </c>
      <c r="D41" s="215" t="str">
        <f aca="false">IF(ISERROR(VLOOKUP($A41,'[1]liste reference'!$A$7:$D$906,2,0)),IF(ISERROR(VLOOKUP($A41,'[1]liste reference'!$B$7:$D$906,1,0)),"",VLOOKUP($A41,'[1]liste reference'!$B$7:$D$906,1,0)),VLOOKUP($A41,'[1]liste reference'!$A$7:$D$906,2,0))</f>
        <v>Polygonum hydropiper (Persicaria hydropiper)</v>
      </c>
      <c r="E41" s="215" t="e">
        <f aca="false">IF(D41="",0,VLOOKUP(D41,D$22:D40,1,0))</f>
        <v>#N/A</v>
      </c>
      <c r="F41" s="225" t="n">
        <f aca="false">($B41*$B$7+$C41*$C$7)/100</f>
        <v>0.005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Polygonum hydropiper (Persicaria hydropiper)</v>
      </c>
      <c r="L41" s="220"/>
      <c r="M41" s="220"/>
      <c r="N41" s="220"/>
      <c r="O41" s="205"/>
      <c r="P41" s="206" t="n">
        <f aca="false">IF(ISTEXT(H41),"",(B41*$B$7/100)+(C41*$C$7/100))</f>
        <v>0.005</v>
      </c>
      <c r="Q41" s="207" t="n">
        <f aca="false">IF(OR(ISTEXT(H41),P41=0),"",IF(P41&lt;0.1,1,IF(P41&lt;1,2,IF(P41&lt;10,3,IF(P41&lt;50,4,IF(P41&gt;=50,5,""))))))</f>
        <v>1</v>
      </c>
      <c r="R41" s="207" t="n">
        <f aca="false">IF(ISERROR(Q41*I41),0,Q41*I41)</f>
        <v>8</v>
      </c>
      <c r="S41" s="207" t="n">
        <f aca="false">IF(ISERROR(Q41*I41*J41),0,Q41*I41*J41)</f>
        <v>16</v>
      </c>
      <c r="T41" s="221" t="n">
        <f aca="false">IF(ISERROR(Q41*J41),0,Q41*J41)</f>
        <v>2</v>
      </c>
      <c r="U41" s="208" t="str">
        <f aca="false">IF(AND(A41="",F41=0),"",IF(F41=0,"Il manque le(s) % de rec. !",""))</f>
        <v/>
      </c>
      <c r="V41" s="209"/>
      <c r="X41" s="207" t="str">
        <f aca="false">IF(A41="new.cod","NEW.COD",IF(AND((Y41=""),ISTEXT(A41)),A41,IF(Y41="","",INDEX('[1]liste reference'!$A$7:$A$906,Y41))))</f>
        <v>POL.HYD</v>
      </c>
      <c r="Y41" s="8" t="n">
        <f aca="false">IF(ISERROR(MATCH(A41,'[1]liste reference'!$A$7:$A$906,0)),IF(ISERROR(MATCH(A41,'[1]liste reference'!$B$7:$B$906,0)),"",(MATCH(A41,'[1]liste reference'!$B$7:$B$906,0))),(MATCH(A41,'[1]liste reference'!$A$7:$A$906,0)))</f>
        <v>643</v>
      </c>
      <c r="Z41" s="210"/>
      <c r="AA41" s="211"/>
      <c r="BB41" s="8" t="n">
        <f aca="false">IF(A41="","",1)</f>
        <v>1</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SORNIN</v>
      </c>
      <c r="B84" s="246" t="str">
        <f aca="false">C3</f>
        <v>Charlieu</v>
      </c>
      <c r="C84" s="247" t="n">
        <f aca="false">A4</f>
        <v>40416</v>
      </c>
      <c r="D84" s="248" t="n">
        <f aca="false">IF(ISERROR(SUM($S$23:$S$82)/SUM($T$23:$T$82)),"",SUM($S$23:$S$82)/SUM($T$23:$T$82))</f>
        <v>9.23076923076923</v>
      </c>
      <c r="E84" s="249" t="n">
        <f aca="false">N13</f>
        <v>19</v>
      </c>
      <c r="F84" s="250" t="n">
        <f aca="false">N14</f>
        <v>19</v>
      </c>
      <c r="G84" s="250" t="n">
        <f aca="false">N15</f>
        <v>8</v>
      </c>
      <c r="H84" s="250" t="n">
        <f aca="false">N16</f>
        <v>10</v>
      </c>
      <c r="I84" s="250" t="n">
        <f aca="false">N17</f>
        <v>1</v>
      </c>
      <c r="J84" s="251" t="n">
        <f aca="false">N8</f>
        <v>9.31578947368421</v>
      </c>
      <c r="K84" s="248" t="n">
        <f aca="false">N9</f>
        <v>3.19813542168536</v>
      </c>
      <c r="L84" s="249" t="n">
        <f aca="false">N10</f>
        <v>4</v>
      </c>
      <c r="M84" s="249" t="n">
        <f aca="false">N11</f>
        <v>15</v>
      </c>
      <c r="N84" s="248" t="n">
        <f aca="false">O8</f>
        <v>1.63157894736842</v>
      </c>
      <c r="O84" s="248" t="n">
        <f aca="false">O9</f>
        <v>0.597264720370147</v>
      </c>
      <c r="P84" s="249" t="n">
        <f aca="false">O10</f>
        <v>1</v>
      </c>
      <c r="Q84" s="249" t="n">
        <f aca="false">O11</f>
        <v>3</v>
      </c>
      <c r="R84" s="252" t="n">
        <f aca="false">F21</f>
        <v>1.2864</v>
      </c>
      <c r="S84" s="249" t="n">
        <f aca="false">K11</f>
        <v>0</v>
      </c>
      <c r="T84" s="249" t="n">
        <f aca="false">K12</f>
        <v>8</v>
      </c>
      <c r="U84" s="249" t="n">
        <f aca="false">K13</f>
        <v>5</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93</v>
      </c>
      <c r="Q86" s="8"/>
      <c r="R86" s="208"/>
      <c r="S86" s="8"/>
      <c r="T86" s="8"/>
      <c r="U86" s="8"/>
    </row>
    <row r="87" customFormat="false" ht="12.75" hidden="true" customHeight="false" outlineLevel="0" collapsed="false">
      <c r="P87" s="8" t="s">
        <v>94</v>
      </c>
      <c r="Q87" s="8"/>
      <c r="R87" s="208" t="n">
        <f aca="false">VLOOKUP(MAX($R$23:$R$82),($R$23:$T$82),1,0)</f>
        <v>30</v>
      </c>
      <c r="S87" s="8"/>
      <c r="T87" s="8"/>
      <c r="U87" s="8"/>
    </row>
    <row r="88" customFormat="false" ht="12.75" hidden="true" customHeight="false" outlineLevel="0" collapsed="false">
      <c r="P88" s="8" t="s">
        <v>95</v>
      </c>
      <c r="Q88" s="8"/>
      <c r="R88" s="208" t="n">
        <f aca="false">VLOOKUP((R87),($R$23:$T$82),2,0)</f>
        <v>60</v>
      </c>
      <c r="S88" s="8"/>
      <c r="T88" s="8"/>
      <c r="U88" s="8"/>
    </row>
    <row r="89" customFormat="false" ht="12.75" hidden="true" customHeight="false" outlineLevel="0" collapsed="false">
      <c r="P89" s="8" t="s">
        <v>96</v>
      </c>
      <c r="Q89" s="8"/>
      <c r="R89" s="208" t="n">
        <f aca="false">VLOOKUP((R87),($R$23:$T$82),3,0)</f>
        <v>4</v>
      </c>
      <c r="S89" s="8"/>
    </row>
    <row r="90" customFormat="false" ht="12.75" hidden="true" customHeight="false" outlineLevel="0" collapsed="false">
      <c r="P90" s="8" t="s">
        <v>97</v>
      </c>
      <c r="Q90" s="8"/>
      <c r="R90" s="256" t="n">
        <f aca="false">IF(ISERROR(SUM($S$23:$S$82)/SUM($T$23:$T$82)),"",(SUM($S$23:$S$82)-R88)/(SUM($T$23:$T$82)-R89))</f>
        <v>8.57142857142857</v>
      </c>
      <c r="S90" s="8"/>
    </row>
    <row r="91" customFormat="false" ht="12.75" hidden="true" customHeight="false" outlineLevel="0" collapsed="false">
      <c r="P91" s="207" t="s">
        <v>98</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99</v>
      </c>
      <c r="Q92" s="8"/>
      <c r="R92" s="8" t="n">
        <f aca="false">MATCH(R87,$R$23:$R$82,0)</f>
        <v>3</v>
      </c>
      <c r="S92" s="8"/>
    </row>
    <row r="93" customFormat="false" ht="12.75" hidden="true" customHeight="false" outlineLevel="0" collapsed="false">
      <c r="P93" s="207" t="s">
        <v>100</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2024-03-13T18:54:42Z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