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sheetId="1" state="visible" r:id="rId3"/>
  </sheets>
  <externalReferences>
    <externalReference r:id="rId4"/>
  </externalReferences>
  <definedNames>
    <definedName function="false" hidden="false" localSheetId="0" name="_xlnm.Print_Area" vbProcedure="false">LOIRE!$A$1:$O$80</definedName>
    <definedName function="false" hidden="false" localSheetId="0" name="Excel_BuiltIn__FilterDatabase" vbProcedure="false">LOIRE!$A$23:$J$82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<sst xmlns="http://schemas.openxmlformats.org/spreadsheetml/2006/main" count="119" uniqueCount="107">
  <si>
    <t xml:space="preserve">Relevés floristiques aquatiques - IBMR</t>
  </si>
  <si>
    <t xml:space="preserve">GIS Macrophytes - juillet 2006</t>
  </si>
  <si>
    <t xml:space="preserve">ELEA</t>
  </si>
  <si>
    <t xml:space="preserve">A. Mignon et M.L. Wasier</t>
  </si>
  <si>
    <t xml:space="preserve">conforme AFNOR T90-395 oct. 2003</t>
  </si>
  <si>
    <t xml:space="preserve">LOIRE</t>
  </si>
  <si>
    <t xml:space="preserve">Luneau</t>
  </si>
  <si>
    <t xml:space="preserve">04015600</t>
  </si>
  <si>
    <t xml:space="preserve">RCS Auvergne 08</t>
  </si>
  <si>
    <t xml:space="preserve">Résultats</t>
  </si>
  <si>
    <t xml:space="preserve">Robustesse:</t>
  </si>
  <si>
    <t xml:space="preserve">F. courant</t>
  </si>
  <si>
    <t xml:space="preserve">F. lent</t>
  </si>
  <si>
    <t xml:space="preserve">station</t>
  </si>
  <si>
    <t xml:space="preserve">IBMR:</t>
  </si>
  <si>
    <t xml:space="preserve">RAN.FLU</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</si>
  <si>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</si>
  <si>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</si>
  <si>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</si>
  <si>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</si>
  <si>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</si>
  <si>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</si>
  <si>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</si>
  <si>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</si>
  <si>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</si>
  <si>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</si>
  <si>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</si>
  <si>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</si>
  <si>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</si>
  <si>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</si>
  <si>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</si>
  <si>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</si>
  <si>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</si>
  <si>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</si>
  <si>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</si>
  <si>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</si>
  <si>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</si>
  <si>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</si>
  <si>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</si>
  <si>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</si>
  <si>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</si>
  <si>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</si>
  <si>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</si>
  <si>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</si>
  <si>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</si>
  <si>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</si>
  <si>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</si>
  <si>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</si>
  <si>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</si>
  <si>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</si>
  <si>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</si>
  <si>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</si>
  <si>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</si>
  <si>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</si>
  <si>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</si>
  <si>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</si>
  <si>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</si>
  <si>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</si>
  <si>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</si>
  <si>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</si>
  <si>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</si>
  <si>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</si>
  <si>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</si>
  <si>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</si>
  <si>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</si>
  <si>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</si>
  <si>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</si>
  <si>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</si>
  <si>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</si>
  <si>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</si>
  <si>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</si>
  <si>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</si>
  <si>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</si>
  <si>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</si>
  <si>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</si>
  <si>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</si>
  <si>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MEL.SPX</t>
  </si>
  <si>
    <t xml:space="preserve">NOS.SPX</t>
  </si>
  <si>
    <t xml:space="preserve">OED.SPX</t>
  </si>
  <si>
    <t xml:space="preserve">OSC.SPX</t>
  </si>
  <si>
    <t xml:space="preserve">PHO.SPX</t>
  </si>
  <si>
    <t xml:space="preserve">RHI.SPX</t>
  </si>
  <si>
    <t xml:space="preserve">SPI.SPX</t>
  </si>
  <si>
    <t xml:space="preserve">STI.SPX</t>
  </si>
  <si>
    <t xml:space="preserve">ULO.SPX</t>
  </si>
  <si>
    <t xml:space="preserve">NEW.COD</t>
  </si>
  <si>
    <t xml:space="preserve">Cf.</t>
  </si>
  <si>
    <t xml:space="preserve">Bidens frondosa</t>
  </si>
  <si>
    <t xml:space="preserve">Cyperus esculentus</t>
  </si>
  <si>
    <t xml:space="preserve">ELO.CAN</t>
  </si>
  <si>
    <t xml:space="preserve">LEM.GIB</t>
  </si>
  <si>
    <t xml:space="preserve">LUD.GRA</t>
  </si>
  <si>
    <t xml:space="preserve">MYR.SPI</t>
  </si>
  <si>
    <t xml:space="preserve">PHA.ARU</t>
  </si>
  <si>
    <t xml:space="preserve">POL.HYD</t>
  </si>
  <si>
    <t xml:space="preserve">Polygonum persicaria</t>
  </si>
  <si>
    <t xml:space="preserve">Rorippa sylvestris</t>
  </si>
  <si>
    <t xml:space="preserve">SPR.POL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</si>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</sst>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39681</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9.17857142857143</v>
      </c>
      <c r="M5" s="51"/>
      <c r="N5" s="52" t="s">
        <v>15</v>
      </c>
      <c r="O5" s="53" t="n">
        <v>9.04166666666667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90</v>
      </c>
      <c r="C7" s="65" t="n">
        <v>10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AVERAGE(I23:I80)</f>
        <v>8.94444444444444</v>
      </c>
      <c r="O8" s="82" t="n">
        <f aca="false">AVERAGE(J23:J80)</f>
        <v>1.66666666666667</v>
      </c>
      <c r="P8" s="8"/>
      <c r="Q8" s="8"/>
      <c r="R8" s="8"/>
      <c r="S8" s="8"/>
      <c r="T8" s="8"/>
      <c r="U8" s="8"/>
      <c r="V8" s="20"/>
      <c r="W8" s="21"/>
    </row>
    <row r="9" customFormat="false" ht="12.75" hidden="false" customHeight="false" outlineLevel="0" collapsed="false">
      <c r="A9" s="83" t="s">
        <v>28</v>
      </c>
      <c r="B9" s="84" t="n">
        <v>19</v>
      </c>
      <c r="C9" s="85" t="n">
        <v>20</v>
      </c>
      <c r="D9" s="86"/>
      <c r="E9" s="86"/>
      <c r="F9" s="87" t="n">
        <f aca="false">($B9*$B$7+$C9*$C$7)/100</f>
        <v>19.1</v>
      </c>
      <c r="G9" s="88"/>
      <c r="H9" s="89"/>
      <c r="I9" s="90"/>
      <c r="J9" s="91"/>
      <c r="K9" s="71"/>
      <c r="L9" s="92"/>
      <c r="M9" s="80" t="s">
        <v>29</v>
      </c>
      <c r="N9" s="81" t="n">
        <f aca="false">STDEV(I23:I80)</f>
        <v>2.66727934138277</v>
      </c>
      <c r="O9" s="82" t="n">
        <f aca="false">STDEV(J23:J80)</f>
        <v>0.594088525786005</v>
      </c>
      <c r="P9" s="8"/>
      <c r="Q9" s="8"/>
      <c r="R9" s="8"/>
      <c r="S9" s="8"/>
      <c r="T9" s="8"/>
      <c r="U9" s="8"/>
      <c r="V9" s="93"/>
      <c r="W9" s="94"/>
    </row>
    <row r="10" customFormat="false" ht="12.75" hidden="false" customHeight="false" outlineLevel="0" collapsed="false">
      <c r="A10" s="95" t="s">
        <v>30</v>
      </c>
      <c r="B10" s="96" t="n">
        <v>0.4</v>
      </c>
      <c r="C10" s="97" t="n">
        <v>1.52</v>
      </c>
      <c r="D10" s="98"/>
      <c r="E10" s="98"/>
      <c r="F10" s="87" t="n">
        <f aca="false">($B10*$B$7+$C10*$C$7)/100</f>
        <v>0.512</v>
      </c>
      <c r="G10" s="88"/>
      <c r="H10" s="99"/>
      <c r="I10" s="100"/>
      <c r="J10" s="101" t="s">
        <v>31</v>
      </c>
      <c r="K10" s="101"/>
      <c r="L10" s="102"/>
      <c r="M10" s="103" t="s">
        <v>32</v>
      </c>
      <c r="N10" s="104" t="n">
        <f aca="false">MIN(I23:I80)</f>
        <v>4</v>
      </c>
      <c r="O10" s="105" t="n">
        <f aca="false">MIN(J23:J80)</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13</v>
      </c>
      <c r="O11" s="105" t="n">
        <f aca="false">MAX(J23:J80)</f>
        <v>3</v>
      </c>
      <c r="P11" s="8"/>
      <c r="Q11" s="8"/>
      <c r="R11" s="8"/>
      <c r="S11" s="8"/>
      <c r="T11" s="8"/>
      <c r="U11" s="8"/>
    </row>
    <row r="12" customFormat="false" ht="12.75" hidden="false" customHeight="false" outlineLevel="0" collapsed="false">
      <c r="A12" s="115" t="s">
        <v>36</v>
      </c>
      <c r="B12" s="116" t="n">
        <v>2.01</v>
      </c>
      <c r="C12" s="117" t="n">
        <v>8.52</v>
      </c>
      <c r="D12" s="109"/>
      <c r="E12" s="109"/>
      <c r="F12" s="110" t="n">
        <f aca="false">($B12*$B$7+$C12*$C$7)/100</f>
        <v>2.661</v>
      </c>
      <c r="G12" s="118"/>
      <c r="H12" s="66"/>
      <c r="I12" s="119" t="s">
        <v>37</v>
      </c>
      <c r="J12" s="119"/>
      <c r="K12" s="113" t="n">
        <f aca="false">COUNTIF($G$23:$G$80,"=ALG")</f>
        <v>11</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COUNTIF($G$23:$G$80,"=BRm")+COUNTIF($G$23:$G$80,"=BRh")</f>
        <v>0</v>
      </c>
      <c r="L13" s="114"/>
      <c r="M13" s="124" t="s">
        <v>40</v>
      </c>
      <c r="N13" s="125" t="n">
        <f aca="false">COUNTIF(F23:F80,"&gt;0")</f>
        <v>23</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COUNTIF($G$23:$G$80,"=PTE")</f>
        <v>0</v>
      </c>
      <c r="L14" s="114"/>
      <c r="M14" s="127" t="s">
        <v>43</v>
      </c>
      <c r="N14" s="128" t="n">
        <f aca="false">COUNTIF($I$23:$I$80,"&gt;-1")</f>
        <v>18</v>
      </c>
      <c r="O14" s="129"/>
      <c r="P14" s="8"/>
      <c r="Q14" s="8"/>
      <c r="R14" s="8"/>
      <c r="S14" s="8"/>
      <c r="T14" s="8"/>
      <c r="U14" s="8"/>
    </row>
    <row r="15" customFormat="false" ht="12.75" hidden="false" customHeight="false" outlineLevel="0" collapsed="false">
      <c r="A15" s="130" t="s">
        <v>44</v>
      </c>
      <c r="B15" s="131" t="n">
        <v>20.4</v>
      </c>
      <c r="C15" s="132" t="n">
        <v>13.9</v>
      </c>
      <c r="D15" s="109"/>
      <c r="E15" s="109"/>
      <c r="F15" s="110" t="n">
        <f aca="false">($B15*$B$7+$C15*$C$7)/100</f>
        <v>19.75</v>
      </c>
      <c r="G15" s="118"/>
      <c r="H15" s="66"/>
      <c r="I15" s="119" t="s">
        <v>45</v>
      </c>
      <c r="J15" s="119"/>
      <c r="K15" s="113" t="n">
        <f aca="false">(COUNTIF($G$23:$G$80,"=PHy"))+(COUNTIF($G$23:$G$80,"=PHe"))+(COUNTIF($G$23:$G$80,"=PHg"))+(COUNTIF($G$23:$G$80,"=PHx"))</f>
        <v>8</v>
      </c>
      <c r="L15" s="114"/>
      <c r="M15" s="133" t="s">
        <v>46</v>
      </c>
      <c r="N15" s="134" t="n">
        <f aca="false">COUNTIF(J23:J80,"=1")</f>
        <v>7</v>
      </c>
      <c r="O15" s="135"/>
      <c r="P15" s="8"/>
      <c r="Q15" s="8"/>
      <c r="R15" s="8"/>
      <c r="S15" s="8"/>
      <c r="T15" s="8"/>
      <c r="U15" s="8"/>
    </row>
    <row r="16" customFormat="false" ht="12.75" hidden="false" customHeight="false" outlineLevel="0" collapsed="false">
      <c r="A16" s="106" t="s">
        <v>47</v>
      </c>
      <c r="B16" s="107"/>
      <c r="C16" s="108" t="n">
        <v>0.7</v>
      </c>
      <c r="D16" s="136"/>
      <c r="E16" s="136"/>
      <c r="F16" s="137"/>
      <c r="G16" s="137" t="n">
        <f aca="false">($B16*$B$7+$C16*$C$7)/100</f>
        <v>0.07</v>
      </c>
      <c r="H16" s="66"/>
      <c r="I16" s="119"/>
      <c r="J16" s="138"/>
      <c r="K16" s="138"/>
      <c r="L16" s="114"/>
      <c r="M16" s="133" t="s">
        <v>48</v>
      </c>
      <c r="N16" s="134" t="n">
        <f aca="false">COUNTIF(J23:J80,"=2")</f>
        <v>10</v>
      </c>
      <c r="O16" s="135"/>
      <c r="P16" s="8"/>
      <c r="Q16" s="8"/>
      <c r="R16" s="8"/>
      <c r="S16" s="8"/>
      <c r="T16" s="8"/>
      <c r="U16" s="8"/>
    </row>
    <row r="17" customFormat="false" ht="12.75" hidden="false" customHeight="false" outlineLevel="0" collapsed="false">
      <c r="A17" s="115" t="s">
        <v>49</v>
      </c>
      <c r="B17" s="116" t="n">
        <v>22.01</v>
      </c>
      <c r="C17" s="117" t="n">
        <v>16.52</v>
      </c>
      <c r="D17" s="109"/>
      <c r="E17" s="109"/>
      <c r="F17" s="139"/>
      <c r="G17" s="110" t="n">
        <f aca="false">($B17*$B$7+$C17*$C$7)/100</f>
        <v>21.461</v>
      </c>
      <c r="H17" s="66"/>
      <c r="I17" s="119"/>
      <c r="J17" s="119"/>
      <c r="K17" s="138"/>
      <c r="L17" s="114"/>
      <c r="M17" s="133" t="s">
        <v>50</v>
      </c>
      <c r="N17" s="134" t="n">
        <f aca="false">COUNTIF(J23:J80,"=3")</f>
        <v>1</v>
      </c>
      <c r="O17" s="135"/>
      <c r="P17" s="8"/>
      <c r="Q17" s="8"/>
      <c r="R17" s="8"/>
      <c r="S17" s="8"/>
      <c r="T17" s="8"/>
      <c r="U17" s="8"/>
    </row>
    <row r="18" customFormat="false" ht="12.75" hidden="false" customHeight="false" outlineLevel="0" collapsed="false">
      <c r="A18" s="140" t="s">
        <v>51</v>
      </c>
      <c r="B18" s="141" t="n">
        <v>0.4</v>
      </c>
      <c r="C18" s="142" t="n">
        <v>5.2</v>
      </c>
      <c r="D18" s="109"/>
      <c r="E18" s="143" t="s">
        <v>52</v>
      </c>
      <c r="F18" s="139"/>
      <c r="G18" s="110" t="n">
        <f aca="false">($B18*$B$7+$C18*$C$7)/100</f>
        <v>0.88</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22.411</v>
      </c>
      <c r="G19" s="151" t="n">
        <f aca="false">SUM(G16:G18)</f>
        <v>22.411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SUM(B23:B80)</f>
        <v>22.41</v>
      </c>
      <c r="C20" s="160" t="n">
        <f aca="false">SUM(C23:C80)</f>
        <v>22.42</v>
      </c>
      <c r="D20" s="161"/>
      <c r="E20" s="162" t="s">
        <v>52</v>
      </c>
      <c r="F20" s="163" t="n">
        <f aca="false">($B20*$B$7+$C20*$C$7)/100</f>
        <v>22.411</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20.169</v>
      </c>
      <c r="C21" s="172" t="n">
        <f aca="false">C20*C7/100</f>
        <v>2.242</v>
      </c>
      <c r="D21" s="109" t="str">
        <f aca="false">IF(F21=0,"",IF((ABS(F21-F19))&gt;(0.2*F21),CONCATENATE(" rec. par taxa (",F21," %) supérieur à 20 % !"),""))</f>
        <v/>
      </c>
      <c r="E21" s="173" t="str">
        <f aca="false">IF(F21=0,"",IF((ABS(F21-F19))&gt;(0.2*F21),CONCATENATE("ATTENTION : écart entre rec. par grp (",F19," %) ","et",""),""))</f>
        <v/>
      </c>
      <c r="F21" s="174" t="n">
        <f aca="false">B21+C21</f>
        <v>22.411</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1</v>
      </c>
      <c r="C23" s="196" t="n">
        <v>3</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1.2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1.2</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194" t="s">
        <v>75</v>
      </c>
      <c r="B24" s="212" t="n">
        <v>0.2</v>
      </c>
      <c r="C24" s="213" t="n">
        <v>0.02</v>
      </c>
      <c r="D24" s="214" t="str">
        <f aca="false">IF(ISERROR(VLOOKUP($A24,'[1]liste reference'!$A$7:$D$906,2,0)),IF(ISERROR(VLOOKUP($A24,'[1]liste reference'!$B$7:$D$906,1,0)),"",VLOOKUP($A24,'[1]liste reference'!$B$7:$D$906,1,0)),VLOOKUP($A24,'[1]liste reference'!$A$7:$D$906,2,0))</f>
        <v>Diatoma sp.</v>
      </c>
      <c r="E24" s="214" t="e">
        <f aca="false">IF(D24="",0,VLOOKUP(D24,D$22:D23,1,0))</f>
        <v>#N/A</v>
      </c>
      <c r="F24" s="215" t="n">
        <f aca="false">($B24*$B$7+$C24*$C$7)/100</f>
        <v>0.182</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Diatoma sp.</v>
      </c>
      <c r="L24" s="219"/>
      <c r="M24" s="219"/>
      <c r="N24" s="219"/>
      <c r="O24" s="205"/>
      <c r="P24" s="206" t="n">
        <f aca="false">IF(ISTEXT(H24),"",(B24*$B$7/100)+(C24*$C$7/100))</f>
        <v>0.182</v>
      </c>
      <c r="Q24" s="207" t="n">
        <f aca="false">IF(OR(ISTEXT(H24),P24=0),"",IF(P24&lt;0.1,1,IF(P24&lt;1,2,IF(P24&lt;10,3,IF(P24&lt;50,4,IF(P24&gt;=50,5,""))))))</f>
        <v>2</v>
      </c>
      <c r="R24" s="207" t="n">
        <f aca="false">IF(ISERROR(Q24*I24),0,Q24*I24)</f>
        <v>24</v>
      </c>
      <c r="S24" s="207" t="n">
        <f aca="false">IF(ISERROR(Q24*I24*J24),0,Q24*I24*J24)</f>
        <v>48</v>
      </c>
      <c r="T24" s="220" t="n">
        <f aca="false">IF(ISERROR(Q24*J24),0,Q24*J24)</f>
        <v>4</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194" t="s">
        <v>76</v>
      </c>
      <c r="B25" s="212" t="n">
        <v>0.2</v>
      </c>
      <c r="C25" s="213" t="n">
        <v>1.5</v>
      </c>
      <c r="D25" s="214" t="str">
        <f aca="false">IF(ISERROR(VLOOKUP($A25,'[1]liste reference'!$A$7:$D$906,2,0)),IF(ISERROR(VLOOKUP($A25,'[1]liste reference'!$B$7:$D$906,1,0)),"",VLOOKUP($A25,'[1]liste reference'!$B$7:$D$906,1,0)),VLOOKUP($A25,'[1]liste reference'!$A$7:$D$906,2,0))</f>
        <v>Melosira sp.</v>
      </c>
      <c r="E25" s="214" t="e">
        <f aca="false">IF(D25="",0,VLOOKUP(D25,D$22:D24,1,0))</f>
        <v>#N/A</v>
      </c>
      <c r="F25" s="215" t="n">
        <f aca="false">($B25*$B$7+$C25*$C$7)/100</f>
        <v>0.33</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8" t="str">
        <f aca="false">IF(A25="NEW.COD",AA25,IF(ISTEXT($E25),"DEJA SAISI !",IF(A25="","",IF(ISERROR(VLOOKUP($A25,'[1]liste reference'!$A$7:$D$906,2,0)),IF(ISERROR(VLOOKUP($A25,'[1]liste reference'!$B$7:$D$906,1,0)),"code non répertorié ou synonyme",VLOOKUP($A25,'[1]liste reference'!$B$7:$D$906,1,0)),VLOOKUP(A25,'[1]liste reference'!$A$7:$D$906,2,0)))))</f>
        <v>Melosira sp.</v>
      </c>
      <c r="L25" s="219"/>
      <c r="M25" s="219"/>
      <c r="N25" s="219"/>
      <c r="O25" s="205"/>
      <c r="P25" s="206" t="n">
        <f aca="false">IF(ISTEXT(H25),"",(B25*$B$7/100)+(C25*$C$7/100))</f>
        <v>0.33</v>
      </c>
      <c r="Q25" s="207" t="n">
        <f aca="false">IF(OR(ISTEXT(H25),P25=0),"",IF(P25&lt;0.1,1,IF(P25&lt;1,2,IF(P25&lt;10,3,IF(P25&lt;50,4,IF(P25&gt;=50,5,""))))))</f>
        <v>2</v>
      </c>
      <c r="R25" s="207" t="n">
        <f aca="false">IF(ISERROR(Q25*I25),0,Q25*I25)</f>
        <v>20</v>
      </c>
      <c r="S25" s="207" t="n">
        <f aca="false">IF(ISERROR(Q25*I25*J25),0,Q25*I25*J25)</f>
        <v>20</v>
      </c>
      <c r="T25" s="220" t="n">
        <f aca="false">IF(ISERROR(Q25*J25),0,Q25*J25)</f>
        <v>2</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194" t="s">
        <v>77</v>
      </c>
      <c r="B26" s="212"/>
      <c r="C26" s="213" t="n">
        <v>0.5</v>
      </c>
      <c r="D26" s="214" t="str">
        <f aca="false">IF(ISERROR(VLOOKUP($A26,'[1]liste reference'!$A$7:$D$906,2,0)),IF(ISERROR(VLOOKUP($A26,'[1]liste reference'!$B$7:$D$906,1,0)),"",VLOOKUP($A26,'[1]liste reference'!$B$7:$D$906,1,0)),VLOOKUP($A26,'[1]liste reference'!$A$7:$D$906,2,0))</f>
        <v>Nostoc sp.       </v>
      </c>
      <c r="E26" s="214" t="e">
        <f aca="false">IF(D26="",0,VLOOKUP(D26,D$22:D25,1,0))</f>
        <v>#N/A</v>
      </c>
      <c r="F26" s="215" t="n">
        <f aca="false">($B26*$B$7+$C26*$C$7)/100</f>
        <v>0.05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9</v>
      </c>
      <c r="J26" s="202" t="n">
        <f aca="false">IF(ISNUMBER(H26),IF(ISERROR(VLOOKUP($A26,'[1]liste reference'!$A$7:$P$906,4,0)),IF(ISERROR(VLOOKUP($A26,'[1]liste reference'!$B$7:$P$906,3,0)),"",VLOOKUP($A26,'[1]liste reference'!$B$7:$P$906,3,0)),VLOOKUP($A26,'[1]liste reference'!$A$7:$P$906,4,0)),"")</f>
        <v>1</v>
      </c>
      <c r="K26" s="218" t="str">
        <f aca="false">IF(A26="NEW.COD",AA26,IF(ISTEXT($E26),"DEJA SAISI !",IF(A26="","",IF(ISERROR(VLOOKUP($A26,'[1]liste reference'!$A$7:$D$906,2,0)),IF(ISERROR(VLOOKUP($A26,'[1]liste reference'!$B$7:$D$906,1,0)),"code non répertorié ou synonyme",VLOOKUP($A26,'[1]liste reference'!$B$7:$D$906,1,0)),VLOOKUP(A26,'[1]liste reference'!$A$7:$D$906,2,0)))))</f>
        <v>Nostoc sp.       </v>
      </c>
      <c r="L26" s="219"/>
      <c r="M26" s="219"/>
      <c r="N26" s="219"/>
      <c r="O26" s="205"/>
      <c r="P26" s="206" t="n">
        <f aca="false">IF(ISTEXT(H26),"",(B26*$B$7/100)+(C26*$C$7/100))</f>
        <v>0.05</v>
      </c>
      <c r="Q26" s="207" t="n">
        <f aca="false">IF(OR(ISTEXT(H26),P26=0),"",IF(P26&lt;0.1,1,IF(P26&lt;1,2,IF(P26&lt;10,3,IF(P26&lt;50,4,IF(P26&gt;=50,5,""))))))</f>
        <v>1</v>
      </c>
      <c r="R26" s="207" t="n">
        <f aca="false">IF(ISERROR(Q26*I26),0,Q26*I26)</f>
        <v>9</v>
      </c>
      <c r="S26" s="207" t="n">
        <f aca="false">IF(ISERROR(Q26*I26*J26),0,Q26*I26*J26)</f>
        <v>9</v>
      </c>
      <c r="T26" s="220" t="n">
        <f aca="false">IF(ISERROR(Q26*J26),0,Q26*J26)</f>
        <v>1</v>
      </c>
      <c r="U26" s="208" t="str">
        <f aca="false">IF(AND(A26="",F26=0),"",IF(F26=0,"Il manque le(s) % de rec. !",""))</f>
        <v/>
      </c>
      <c r="V26" s="209"/>
      <c r="X26" s="207" t="str">
        <f aca="false">IF(A26="new.cod","NEW.COD",IF(AND((Y26=""),ISTEXT(A26)),A26,IF(Y26="","",INDEX('[1]liste reference'!$A$7:$A$906,Y26))))</f>
        <v>NOS.SPX</v>
      </c>
      <c r="Y26" s="8" t="n">
        <f aca="false">IF(ISERROR(MATCH(A26,'[1]liste reference'!$A$7:$A$906,0)),IF(ISERROR(MATCH(A26,'[1]liste reference'!$B$7:$B$906,0)),"",(MATCH(A26,'[1]liste reference'!$B$7:$B$906,0))),(MATCH(A26,'[1]liste reference'!$A$7:$A$906,0)))</f>
        <v>55</v>
      </c>
      <c r="Z26" s="210"/>
      <c r="AA26" s="211"/>
      <c r="BB26" s="8" t="n">
        <f aca="false">IF(A26="","",1)</f>
        <v>1</v>
      </c>
    </row>
    <row r="27" customFormat="false" ht="12.75" hidden="false" customHeight="false" outlineLevel="0" collapsed="false">
      <c r="A27" s="194" t="s">
        <v>78</v>
      </c>
      <c r="B27" s="212" t="n">
        <v>0.1</v>
      </c>
      <c r="C27" s="213" t="n">
        <v>0.4</v>
      </c>
      <c r="D27" s="214" t="str">
        <f aca="false">IF(ISERROR(VLOOKUP($A27,'[1]liste reference'!$A$7:$D$906,2,0)),IF(ISERROR(VLOOKUP($A27,'[1]liste reference'!$B$7:$D$906,1,0)),"",VLOOKUP($A27,'[1]liste reference'!$B$7:$D$906,1,0)),VLOOKUP($A27,'[1]liste reference'!$A$7:$D$906,2,0))</f>
        <v>Oedogonium sp.</v>
      </c>
      <c r="E27" s="214" t="e">
        <f aca="false">IF(D27="",0,VLOOKUP(D27,D$22:D26,1,0))</f>
        <v>#N/A</v>
      </c>
      <c r="F27" s="215" t="n">
        <f aca="false">($B27*$B$7+$C27*$C$7)/100</f>
        <v>0.13</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8" t="str">
        <f aca="false">IF(A27="NEW.COD",AA27,IF(ISTEXT($E27),"DEJA SAISI !",IF(A27="","",IF(ISERROR(VLOOKUP($A27,'[1]liste reference'!$A$7:$D$906,2,0)),IF(ISERROR(VLOOKUP($A27,'[1]liste reference'!$B$7:$D$906,1,0)),"code non répertorié ou synonyme",VLOOKUP($A27,'[1]liste reference'!$B$7:$D$906,1,0)),VLOOKUP(A27,'[1]liste reference'!$A$7:$D$906,2,0)))))</f>
        <v>Oedogonium sp.</v>
      </c>
      <c r="L27" s="219"/>
      <c r="M27" s="219"/>
      <c r="N27" s="219"/>
      <c r="O27" s="205"/>
      <c r="P27" s="206" t="n">
        <f aca="false">IF(ISTEXT(H27),"",(B27*$B$7/100)+(C27*$C$7/100))</f>
        <v>0.13</v>
      </c>
      <c r="Q27" s="207" t="n">
        <f aca="false">IF(OR(ISTEXT(H27),P27=0),"",IF(P27&lt;0.1,1,IF(P27&lt;1,2,IF(P27&lt;10,3,IF(P27&lt;50,4,IF(P27&gt;=50,5,""))))))</f>
        <v>2</v>
      </c>
      <c r="R27" s="207" t="n">
        <f aca="false">IF(ISERROR(Q27*I27),0,Q27*I27)</f>
        <v>12</v>
      </c>
      <c r="S27" s="207" t="n">
        <f aca="false">IF(ISERROR(Q27*I27*J27),0,Q27*I27*J27)</f>
        <v>24</v>
      </c>
      <c r="T27" s="220" t="n">
        <f aca="false">IF(ISERROR(Q27*J27),0,Q27*J27)</f>
        <v>4</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194" t="s">
        <v>79</v>
      </c>
      <c r="B28" s="212"/>
      <c r="C28" s="213" t="n">
        <v>1.4</v>
      </c>
      <c r="D28" s="214" t="str">
        <f aca="false">IF(ISERROR(VLOOKUP($A28,'[1]liste reference'!$A$7:$D$906,2,0)),IF(ISERROR(VLOOKUP($A28,'[1]liste reference'!$B$7:$D$906,1,0)),"",VLOOKUP($A28,'[1]liste reference'!$B$7:$D$906,1,0)),VLOOKUP($A28,'[1]liste reference'!$A$7:$D$906,2,0))</f>
        <v>Oscillatoria sp.       </v>
      </c>
      <c r="E28" s="214" t="e">
        <f aca="false">IF(D28="",0,VLOOKUP(D28,D$22:D27,1,0))</f>
        <v>#N/A</v>
      </c>
      <c r="F28" s="215" t="n">
        <f aca="false">($B28*$B$7+$C28*$C$7)/100</f>
        <v>0.14</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Oscillatoria sp.       </v>
      </c>
      <c r="L28" s="219"/>
      <c r="M28" s="219"/>
      <c r="N28" s="219"/>
      <c r="O28" s="205"/>
      <c r="P28" s="206" t="n">
        <f aca="false">IF(ISTEXT(H28),"",(B28*$B$7/100)+(C28*$C$7/100))</f>
        <v>0.14</v>
      </c>
      <c r="Q28" s="207" t="n">
        <f aca="false">IF(OR(ISTEXT(H28),P28=0),"",IF(P28&lt;0.1,1,IF(P28&lt;1,2,IF(P28&lt;10,3,IF(P28&lt;50,4,IF(P28&gt;=50,5,""))))))</f>
        <v>2</v>
      </c>
      <c r="R28" s="207" t="n">
        <f aca="false">IF(ISERROR(Q28*I28),0,Q28*I28)</f>
        <v>22</v>
      </c>
      <c r="S28" s="207" t="n">
        <f aca="false">IF(ISERROR(Q28*I28*J28),0,Q28*I28*J28)</f>
        <v>22</v>
      </c>
      <c r="T28" s="220" t="n">
        <f aca="false">IF(ISERROR(Q28*J28),0,Q28*J28)</f>
        <v>2</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194" t="s">
        <v>80</v>
      </c>
      <c r="B29" s="212" t="n">
        <v>0.2</v>
      </c>
      <c r="C29" s="213" t="n">
        <v>1.5</v>
      </c>
      <c r="D29" s="214" t="str">
        <f aca="false">IF(ISERROR(VLOOKUP($A29,'[1]liste reference'!$A$7:$D$906,2,0)),IF(ISERROR(VLOOKUP($A29,'[1]liste reference'!$B$7:$D$906,1,0)),"",VLOOKUP($A29,'[1]liste reference'!$B$7:$D$906,1,0)),VLOOKUP($A29,'[1]liste reference'!$A$7:$D$906,2,0))</f>
        <v>Phormidium sp.</v>
      </c>
      <c r="E29" s="214" t="e">
        <f aca="false">IF(D29="",0,VLOOKUP(D29,D$22:D28,1,0))</f>
        <v>#N/A</v>
      </c>
      <c r="F29" s="215" t="n">
        <f aca="false">($B29*$B$7+$C29*$C$7)/100</f>
        <v>0.33</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Phormidium sp.</v>
      </c>
      <c r="L29" s="219"/>
      <c r="M29" s="219"/>
      <c r="N29" s="219"/>
      <c r="O29" s="205"/>
      <c r="P29" s="206" t="n">
        <f aca="false">IF(ISTEXT(H29),"",(B29*$B$7/100)+(C29*$C$7/100))</f>
        <v>0.33</v>
      </c>
      <c r="Q29" s="207" t="n">
        <f aca="false">IF(OR(ISTEXT(H29),P29=0),"",IF(P29&lt;0.1,1,IF(P29&lt;1,2,IF(P29&lt;10,3,IF(P29&lt;50,4,IF(P29&gt;=50,5,""))))))</f>
        <v>2</v>
      </c>
      <c r="R29" s="207" t="n">
        <f aca="false">IF(ISERROR(Q29*I29),0,Q29*I29)</f>
        <v>26</v>
      </c>
      <c r="S29" s="207" t="n">
        <f aca="false">IF(ISERROR(Q29*I29*J29),0,Q29*I29*J29)</f>
        <v>52</v>
      </c>
      <c r="T29" s="220" t="n">
        <f aca="false">IF(ISERROR(Q29*J29),0,Q29*J29)</f>
        <v>4</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194" t="s">
        <v>81</v>
      </c>
      <c r="B30" s="212" t="n">
        <v>0.01</v>
      </c>
      <c r="C30" s="213"/>
      <c r="D30" s="214" t="str">
        <f aca="false">IF(ISERROR(VLOOKUP($A30,'[1]liste reference'!$A$7:$D$906,2,0)),IF(ISERROR(VLOOKUP($A30,'[1]liste reference'!$B$7:$D$906,1,0)),"",VLOOKUP($A30,'[1]liste reference'!$B$7:$D$906,1,0)),VLOOKUP($A30,'[1]liste reference'!$A$7:$D$906,2,0))</f>
        <v>Rhizoclonium sp.       </v>
      </c>
      <c r="E30" s="214" t="e">
        <f aca="false">IF(D30="",0,VLOOKUP(D30,D$22:D29,1,0))</f>
        <v>#N/A</v>
      </c>
      <c r="F30" s="215" t="n">
        <f aca="false">($B30*$B$7+$C30*$C$7)/100</f>
        <v>0.009</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4</v>
      </c>
      <c r="J30" s="202" t="n">
        <f aca="false">IF(ISNUMBER(H30),IF(ISERROR(VLOOKUP($A30,'[1]liste reference'!$A$7:$P$906,4,0)),IF(ISERROR(VLOOKUP($A30,'[1]liste reference'!$B$7:$P$906,3,0)),"",VLOOKUP($A30,'[1]liste reference'!$B$7:$P$906,3,0)),VLOOKUP($A30,'[1]liste reference'!$A$7:$P$906,4,0)),"")</f>
        <v>2</v>
      </c>
      <c r="K30" s="218" t="str">
        <f aca="false">IF(A30="NEW.COD",AA30,IF(ISTEXT($E30),"DEJA SAISI !",IF(A30="","",IF(ISERROR(VLOOKUP($A30,'[1]liste reference'!$A$7:$D$906,2,0)),IF(ISERROR(VLOOKUP($A30,'[1]liste reference'!$B$7:$D$906,1,0)),"code non répertorié ou synonyme",VLOOKUP($A30,'[1]liste reference'!$B$7:$D$906,1,0)),VLOOKUP(A30,'[1]liste reference'!$A$7:$D$906,2,0)))))</f>
        <v>Rhizoclonium sp.       </v>
      </c>
      <c r="L30" s="219"/>
      <c r="M30" s="219"/>
      <c r="N30" s="219"/>
      <c r="O30" s="205"/>
      <c r="P30" s="206" t="n">
        <f aca="false">IF(ISTEXT(H30),"",(B30*$B$7/100)+(C30*$C$7/100))</f>
        <v>0.009</v>
      </c>
      <c r="Q30" s="207" t="n">
        <f aca="false">IF(OR(ISTEXT(H30),P30=0),"",IF(P30&lt;0.1,1,IF(P30&lt;1,2,IF(P30&lt;10,3,IF(P30&lt;50,4,IF(P30&gt;=50,5,""))))))</f>
        <v>1</v>
      </c>
      <c r="R30" s="207" t="n">
        <f aca="false">IF(ISERROR(Q30*I30),0,Q30*I30)</f>
        <v>4</v>
      </c>
      <c r="S30" s="207" t="n">
        <f aca="false">IF(ISERROR(Q30*I30*J30),0,Q30*I30*J30)</f>
        <v>8</v>
      </c>
      <c r="T30" s="220" t="n">
        <f aca="false">IF(ISERROR(Q30*J30),0,Q30*J30)</f>
        <v>2</v>
      </c>
      <c r="U30" s="208" t="str">
        <f aca="false">IF(AND(A30="",F30=0),"",IF(F30=0,"Il manque le(s) % de rec. !",""))</f>
        <v/>
      </c>
      <c r="V30" s="209"/>
      <c r="X30" s="207" t="str">
        <f aca="false">IF(A30="new.cod","NEW.COD",IF(AND((Y30=""),ISTEXT(A30)),A30,IF(Y30="","",INDEX('[1]liste reference'!$A$7:$A$906,Y30))))</f>
        <v>RHI.SPX</v>
      </c>
      <c r="Y30" s="8" t="n">
        <f aca="false">IF(ISERROR(MATCH(A30,'[1]liste reference'!$A$7:$A$906,0)),IF(ISERROR(MATCH(A30,'[1]liste reference'!$B$7:$B$906,0)),"",(MATCH(A30,'[1]liste reference'!$B$7:$B$906,0))),(MATCH(A30,'[1]liste reference'!$A$7:$A$906,0)))</f>
        <v>63</v>
      </c>
      <c r="Z30" s="210"/>
      <c r="AA30" s="211"/>
      <c r="BB30" s="8" t="n">
        <f aca="false">IF(A30="","",1)</f>
        <v>1</v>
      </c>
    </row>
    <row r="31" customFormat="false" ht="12.75" hidden="false" customHeight="false" outlineLevel="0" collapsed="false">
      <c r="A31" s="194" t="s">
        <v>82</v>
      </c>
      <c r="B31" s="212" t="n">
        <v>0.1</v>
      </c>
      <c r="C31" s="213"/>
      <c r="D31" s="214" t="str">
        <f aca="false">IF(ISERROR(VLOOKUP($A31,'[1]liste reference'!$A$7:$D$906,2,0)),IF(ISERROR(VLOOKUP($A31,'[1]liste reference'!$B$7:$D$906,1,0)),"",VLOOKUP($A31,'[1]liste reference'!$B$7:$D$906,1,0)),VLOOKUP($A31,'[1]liste reference'!$A$7:$D$906,2,0))</f>
        <v>Spirogyra sp.       </v>
      </c>
      <c r="E31" s="214" t="e">
        <f aca="false">IF(D31="",0,VLOOKUP(D31,D$21:D30,1,0))</f>
        <v>#N/A</v>
      </c>
      <c r="F31" s="215" t="n">
        <f aca="false">($B31*$B$7+$C31*$C$7)/100</f>
        <v>0.09</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8" t="str">
        <f aca="false">IF(A31="NEW.COD",AA31,IF(ISTEXT($E31),"DEJA SAISI !",IF(A31="","",IF(ISERROR(VLOOKUP($A31,'[1]liste reference'!$A$7:$D$906,2,0)),IF(ISERROR(VLOOKUP($A31,'[1]liste reference'!$B$7:$D$906,1,0)),"code non répertorié ou synonyme",VLOOKUP($A31,'[1]liste reference'!$B$7:$D$906,1,0)),VLOOKUP(A31,'[1]liste reference'!$A$7:$D$906,2,0)))))</f>
        <v>Spirogyra sp.       </v>
      </c>
      <c r="L31" s="219"/>
      <c r="M31" s="219"/>
      <c r="N31" s="219"/>
      <c r="O31" s="205"/>
      <c r="P31" s="206" t="n">
        <f aca="false">IF(ISTEXT(H31),"",(B31*$B$7/100)+(C31*$C$7/100))</f>
        <v>0.09</v>
      </c>
      <c r="Q31" s="207" t="n">
        <f aca="false">IF(OR(ISTEXT(H31),P31=0),"",IF(P31&lt;0.1,1,IF(P31&lt;1,2,IF(P31&lt;10,3,IF(P31&lt;50,4,IF(P31&gt;=50,5,""))))))</f>
        <v>1</v>
      </c>
      <c r="R31" s="207" t="n">
        <f aca="false">IF(ISERROR(Q31*I31),0,Q31*I31)</f>
        <v>10</v>
      </c>
      <c r="S31" s="207" t="n">
        <f aca="false">IF(ISERROR(Q31*I31*J31),0,Q31*I31*J31)</f>
        <v>10</v>
      </c>
      <c r="T31" s="220" t="n">
        <f aca="false">IF(ISERROR(Q31*J31),0,Q31*J31)</f>
        <v>1</v>
      </c>
      <c r="U31" s="208" t="str">
        <f aca="false">IF(AND(A31="",F31=0),"",IF(F31=0,"Il manque le(s) % de rec. !",""))</f>
        <v/>
      </c>
      <c r="V31" s="209"/>
      <c r="W31" s="221"/>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194" t="s">
        <v>83</v>
      </c>
      <c r="B32" s="212" t="n">
        <v>0.2</v>
      </c>
      <c r="C32" s="213"/>
      <c r="D32" s="214" t="str">
        <f aca="false">IF(ISERROR(VLOOKUP($A32,'[1]liste reference'!$A$7:$D$906,2,0)),IF(ISERROR(VLOOKUP($A32,'[1]liste reference'!$B$7:$D$906,1,0)),"",VLOOKUP($A32,'[1]liste reference'!$B$7:$D$906,1,0)),VLOOKUP($A32,'[1]liste reference'!$A$7:$D$906,2,0))</f>
        <v>Stigeoclonium sp.</v>
      </c>
      <c r="E32" s="214" t="e">
        <f aca="false">IF(D32="",0,VLOOKUP(D32,D$22:D31,1,0))</f>
        <v>#N/A</v>
      </c>
      <c r="F32" s="215" t="n">
        <f aca="false">($B32*$B$7+$C32*$C$7)/100</f>
        <v>0.18</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13</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Stigeoclonium sp.</v>
      </c>
      <c r="L32" s="219"/>
      <c r="M32" s="219"/>
      <c r="N32" s="219"/>
      <c r="O32" s="205"/>
      <c r="P32" s="206" t="n">
        <f aca="false">IF(ISTEXT(H32),"",(B32*$B$7/100)+(C32*$C$7/100))</f>
        <v>0.18</v>
      </c>
      <c r="Q32" s="207" t="n">
        <f aca="false">IF(OR(ISTEXT(H32),P32=0),"",IF(P32&lt;0.1,1,IF(P32&lt;1,2,IF(P32&lt;10,3,IF(P32&lt;50,4,IF(P32&gt;=50,5,""))))))</f>
        <v>2</v>
      </c>
      <c r="R32" s="207" t="n">
        <f aca="false">IF(ISERROR(Q32*I32),0,Q32*I32)</f>
        <v>26</v>
      </c>
      <c r="S32" s="207" t="n">
        <f aca="false">IF(ISERROR(Q32*I32*J32),0,Q32*I32*J32)</f>
        <v>52</v>
      </c>
      <c r="T32" s="220" t="n">
        <f aca="false">IF(ISERROR(Q32*J32),0,Q32*J32)</f>
        <v>4</v>
      </c>
      <c r="U32" s="208" t="str">
        <f aca="false">IF(AND(A32="",F32=0),"",IF(F32=0,"Il manque le(s) % de rec. !",""))</f>
        <v/>
      </c>
      <c r="V32" s="209"/>
      <c r="X32" s="207" t="str">
        <f aca="false">IF(A32="new.cod","NEW.COD",IF(AND((Y32=""),ISTEXT(A32)),A32,IF(Y32="","",INDEX('[1]liste reference'!$A$7:$A$906,Y32))))</f>
        <v>STI.SPX</v>
      </c>
      <c r="Y32" s="8" t="n">
        <f aca="false">IF(ISERROR(MATCH(A32,'[1]liste reference'!$A$7:$A$906,0)),IF(ISERROR(MATCH(A32,'[1]liste reference'!$B$7:$B$906,0)),"",(MATCH(A32,'[1]liste reference'!$B$7:$B$906,0))),(MATCH(A32,'[1]liste reference'!$A$7:$A$906,0)))</f>
        <v>72</v>
      </c>
      <c r="Z32" s="210"/>
      <c r="AA32" s="211"/>
      <c r="BB32" s="8" t="n">
        <f aca="false">IF(A32="","",1)</f>
        <v>1</v>
      </c>
    </row>
    <row r="33" customFormat="false" ht="12.75" hidden="false" customHeight="false" outlineLevel="0" collapsed="false">
      <c r="A33" s="194" t="s">
        <v>84</v>
      </c>
      <c r="B33" s="212"/>
      <c r="C33" s="213" t="n">
        <v>0.2</v>
      </c>
      <c r="D33" s="214" t="str">
        <f aca="false">IF(ISERROR(VLOOKUP($A33,'[1]liste reference'!$A$7:$D$906,2,0)),IF(ISERROR(VLOOKUP($A33,'[1]liste reference'!$B$7:$D$906,1,0)),"",VLOOKUP($A33,'[1]liste reference'!$B$7:$D$906,1,0)),VLOOKUP($A33,'[1]liste reference'!$A$7:$D$906,2,0))</f>
        <v>Ulothrix sp.       </v>
      </c>
      <c r="E33" s="214" t="e">
        <f aca="false">IF(D33="",0,VLOOKUP(D33,D$22:D32,1,0))</f>
        <v>#N/A</v>
      </c>
      <c r="F33" s="215" t="n">
        <f aca="false">($B33*$B$7+$C33*$C$7)/100</f>
        <v>0.02</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8" t="str">
        <f aca="false">IF(A33="NEW.COD",AA33,IF(ISTEXT($E33),"DEJA SAISI !",IF(A33="","",IF(ISERROR(VLOOKUP($A33,'[1]liste reference'!$A$7:$D$906,2,0)),IF(ISERROR(VLOOKUP($A33,'[1]liste reference'!$B$7:$D$906,1,0)),"code non répertorié ou synonyme",VLOOKUP($A33,'[1]liste reference'!$B$7:$D$906,1,0)),VLOOKUP(A33,'[1]liste reference'!$A$7:$D$906,2,0)))))</f>
        <v>Ulothrix sp.       </v>
      </c>
      <c r="L33" s="222"/>
      <c r="M33" s="222"/>
      <c r="N33" s="222"/>
      <c r="O33" s="223"/>
      <c r="P33" s="206" t="n">
        <f aca="false">IF(ISTEXT(H33),"",(B33*$B$7/100)+(C33*$C$7/100))</f>
        <v>0.02</v>
      </c>
      <c r="Q33" s="207" t="n">
        <f aca="false">IF(OR(ISTEXT(H33),P33=0),"",IF(P33&lt;0.1,1,IF(P33&lt;1,2,IF(P33&lt;10,3,IF(P33&lt;50,4,IF(P33&gt;=50,5,""))))))</f>
        <v>1</v>
      </c>
      <c r="R33" s="207" t="n">
        <f aca="false">IF(ISERROR(Q33*I33),0,Q33*I33)</f>
        <v>10</v>
      </c>
      <c r="S33" s="207" t="n">
        <f aca="false">IF(ISERROR(Q33*I33*J33),0,Q33*I33*J33)</f>
        <v>10</v>
      </c>
      <c r="T33" s="220" t="n">
        <f aca="false">IF(ISERROR(Q33*J33),0,Q33*J33)</f>
        <v>1</v>
      </c>
      <c r="U33" s="208" t="str">
        <f aca="false">IF(AND(A33="",F33=0),"",IF(F33=0,"Il manque le(s) % de rec. !",""))</f>
        <v/>
      </c>
      <c r="V33" s="209"/>
      <c r="X33" s="207" t="str">
        <f aca="false">IF(A33="new.cod","NEW.COD",IF(AND((Y33=""),ISTEXT(A33)),A33,IF(Y33="","",INDEX('[1]liste reference'!$A$7:$A$906,Y33))))</f>
        <v>ULO.SPX</v>
      </c>
      <c r="Y33" s="8" t="n">
        <f aca="false">IF(ISERROR(MATCH(A33,'[1]liste reference'!$A$7:$A$906,0)),IF(ISERROR(MATCH(A33,'[1]liste reference'!$B$7:$B$906,0)),"",(MATCH(A33,'[1]liste reference'!$B$7:$B$906,0))),(MATCH(A33,'[1]liste reference'!$A$7:$A$906,0)))</f>
        <v>82</v>
      </c>
      <c r="Z33" s="210"/>
      <c r="AA33" s="211"/>
      <c r="BB33" s="8" t="n">
        <f aca="false">IF(A33="","",1)</f>
        <v>1</v>
      </c>
    </row>
    <row r="34" customFormat="false" ht="12.75" hidden="false" customHeight="false" outlineLevel="0" collapsed="false">
      <c r="A34" s="194" t="s">
        <v>85</v>
      </c>
      <c r="B34" s="212"/>
      <c r="C34" s="213" t="n">
        <v>0.1</v>
      </c>
      <c r="D34" s="214" t="str">
        <f aca="false">IF(ISERROR(VLOOKUP($A34,'[1]liste reference'!$A$7:$D$906,2,0)),IF(ISERROR(VLOOKUP($A34,'[1]liste reference'!$B$7:$D$906,1,0)),"",VLOOKUP($A34,'[1]liste reference'!$B$7:$D$906,1,0)),VLOOKUP($A34,'[1]liste reference'!$A$7:$D$906,2,0))</f>
        <v/>
      </c>
      <c r="E34" s="214" t="n">
        <f aca="false">IF(D34="",0,VLOOKUP(D34,D$22:D33,1,0))</f>
        <v>0</v>
      </c>
      <c r="F34" s="224" t="n">
        <f aca="false">($B34*$B$7+$C34*$C$7)/100</f>
        <v>0.01</v>
      </c>
      <c r="G34" s="216" t="str">
        <f aca="false">IF(A34="","",IF(ISERROR(VLOOKUP($A34,'[1]liste reference'!$A$7:$P$906,13,0)),IF(ISERROR(VLOOKUP($A34,'[1]liste reference'!$B$7:$P$906,12,0)),"    -",VLOOKUP($A34,'[1]liste reference'!$B$7:$P$906,12,0)),VLOOKUP($A34,'[1]liste reference'!$A$7:$P$906,13,0)))</f>
        <v>    -</v>
      </c>
      <c r="H34" s="200" t="str">
        <f aca="false">IF(A34="","x",IF(ISERROR(VLOOKUP($A34,'[1]liste reference'!$A$7:$P$906,14,0)),IF(ISERROR(VLOOKUP($A34,'[1]liste reference'!$B$7:$P$906,13,0)),"x",VLOOKUP($A34,'[1]liste reference'!$B$7:$P$906,13,0)),VLOOKUP($A34,'[1]liste reference'!$A$7:$P$906,14,0)))</f>
        <v>x</v>
      </c>
      <c r="I34" s="217"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8" t="str">
        <f aca="false">IF(A34="NEW.COD",AA34,IF(ISTEXT($E34),"DEJA SAISI !",IF(A34="","",IF(ISERROR(VLOOKUP($A34,'[1]liste reference'!$A$7:$D$906,2,0)),IF(ISERROR(VLOOKUP($A34,'[1]liste reference'!$B$7:$D$906,1,0)),"code non répertorié ou synonyme",VLOOKUP($A34,'[1]liste reference'!$B$7:$D$906,1,0)),VLOOKUP(A34,'[1]liste reference'!$A$7:$D$906,2,0)))))</f>
        <v>Bidens frondosa</v>
      </c>
      <c r="L34" s="219"/>
      <c r="M34" s="219"/>
      <c r="N34" s="219"/>
      <c r="O34" s="205" t="s">
        <v>86</v>
      </c>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0" t="n">
        <f aca="false">IF(ISERROR(Q34*J34),0,Q34*J34)</f>
        <v>0</v>
      </c>
      <c r="U34" s="208" t="str">
        <f aca="false">IF(AND(A34="",F34=0),"",IF(F34=0,"Il manque le(s) % de rec. !",""))</f>
        <v/>
      </c>
      <c r="V34" s="209"/>
      <c r="W34" s="209"/>
      <c r="X34" s="207" t="str">
        <f aca="false">IF(A34="new.cod","NEW.COD",IF(AND((Y34=""),ISTEXT(A34)),A34,IF(Y34="","",INDEX('[1]liste reference'!$A$7:$A$906,Y34))))</f>
        <v>NEW.COD</v>
      </c>
      <c r="Y34" s="8" t="str">
        <f aca="false">IF(ISERROR(MATCH(A34,'[1]liste reference'!$A$7:$A$906,0)),IF(ISERROR(MATCH(A34,'[1]liste reference'!$B$7:$B$906,0)),"",(MATCH(A34,'[1]liste reference'!$B$7:$B$906,0))),(MATCH(A34,'[1]liste reference'!$A$7:$A$906,0)))</f>
        <v/>
      </c>
      <c r="Z34" s="210" t="s">
        <v>86</v>
      </c>
      <c r="AA34" s="211" t="s">
        <v>87</v>
      </c>
      <c r="BB34" s="8" t="n">
        <f aca="false">IF(A34="","",1)</f>
        <v>1</v>
      </c>
    </row>
    <row r="35" customFormat="false" ht="12.75" hidden="false" customHeight="false" outlineLevel="0" collapsed="false">
      <c r="A35" s="194" t="s">
        <v>85</v>
      </c>
      <c r="B35" s="212"/>
      <c r="C35" s="213" t="n">
        <v>0.9</v>
      </c>
      <c r="D35" s="214" t="str">
        <f aca="false">IF(ISERROR(VLOOKUP($A35,'[1]liste reference'!$A$7:$D$906,2,0)),IF(ISERROR(VLOOKUP($A35,'[1]liste reference'!$B$7:$D$906,1,0)),"",VLOOKUP($A35,'[1]liste reference'!$B$7:$D$906,1,0)),VLOOKUP($A35,'[1]liste reference'!$A$7:$D$906,2,0))</f>
        <v/>
      </c>
      <c r="E35" s="214" t="n">
        <f aca="false">IF(D35="",0,VLOOKUP(D35,D$22:D34,1,0))</f>
        <v>0</v>
      </c>
      <c r="F35" s="224" t="n">
        <f aca="false">($B35*$B$7+$C35*$C$7)/100</f>
        <v>0.09</v>
      </c>
      <c r="G35" s="216" t="str">
        <f aca="false">IF(A35="","",IF(ISERROR(VLOOKUP($A35,'[1]liste reference'!$A$7:$P$906,13,0)),IF(ISERROR(VLOOKUP($A35,'[1]liste reference'!$B$7:$P$906,12,0)),"    -",VLOOKUP($A35,'[1]liste reference'!$B$7:$P$906,12,0)),VLOOKUP($A35,'[1]liste reference'!$A$7:$P$906,13,0)))</f>
        <v>    -</v>
      </c>
      <c r="H35" s="200" t="str">
        <f aca="false">IF(A35="","x",IF(ISERROR(VLOOKUP($A35,'[1]liste reference'!$A$7:$P$906,14,0)),IF(ISERROR(VLOOKUP($A35,'[1]liste reference'!$B$7:$P$906,13,0)),"x",VLOOKUP($A35,'[1]liste reference'!$B$7:$P$906,13,0)),VLOOKUP($A35,'[1]liste reference'!$A$7:$P$906,14,0)))</f>
        <v>x</v>
      </c>
      <c r="I35" s="217"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8" t="str">
        <f aca="false">IF(A35="NEW.COD",AA35,IF(ISTEXT($E35),"DEJA SAISI !",IF(A35="","",IF(ISERROR(VLOOKUP($A35,'[1]liste reference'!$A$7:$D$906,2,0)),IF(ISERROR(VLOOKUP($A35,'[1]liste reference'!$B$7:$D$906,1,0)),"code non répertorié ou synonyme",VLOOKUP($A35,'[1]liste reference'!$B$7:$D$906,1,0)),VLOOKUP(A35,'[1]liste reference'!$A$7:$D$906,2,0)))))</f>
        <v>Cyperus esculentus</v>
      </c>
      <c r="L35" s="219"/>
      <c r="M35" s="219"/>
      <c r="N35" s="219"/>
      <c r="O35" s="205" t="s">
        <v>86</v>
      </c>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0" t="n">
        <f aca="false">IF(ISERROR(Q35*J35),0,Q35*J35)</f>
        <v>0</v>
      </c>
      <c r="U35" s="208" t="str">
        <f aca="false">IF(AND(A35="",F35=0),"",IF(F35=0,"Il manque le(s) % de rec. !",""))</f>
        <v/>
      </c>
      <c r="V35" s="209"/>
      <c r="X35" s="207" t="str">
        <f aca="false">IF(A35="new.cod","NEW.COD",IF(AND((Y35=""),ISTEXT(A35)),A35,IF(Y35="","",INDEX('[1]liste reference'!$A$7:$A$906,Y35))))</f>
        <v>NEW.COD</v>
      </c>
      <c r="Y35" s="8" t="str">
        <f aca="false">IF(ISERROR(MATCH(A35,'[1]liste reference'!$A$7:$A$906,0)),IF(ISERROR(MATCH(A35,'[1]liste reference'!$B$7:$B$906,0)),"",(MATCH(A35,'[1]liste reference'!$B$7:$B$906,0))),(MATCH(A35,'[1]liste reference'!$A$7:$A$906,0)))</f>
        <v/>
      </c>
      <c r="Z35" s="210" t="s">
        <v>86</v>
      </c>
      <c r="AA35" s="211" t="s">
        <v>88</v>
      </c>
      <c r="BB35" s="8" t="n">
        <f aca="false">IF(A35="","",1)</f>
        <v>1</v>
      </c>
    </row>
    <row r="36" customFormat="false" ht="12.75" hidden="false" customHeight="false" outlineLevel="0" collapsed="false">
      <c r="A36" s="194" t="s">
        <v>89</v>
      </c>
      <c r="B36" s="212" t="n">
        <v>1</v>
      </c>
      <c r="C36" s="213" t="n">
        <v>1</v>
      </c>
      <c r="D36" s="214" t="str">
        <f aca="false">IF(ISERROR(VLOOKUP($A36,'[1]liste reference'!$A$7:$D$906,2,0)),IF(ISERROR(VLOOKUP($A36,'[1]liste reference'!$B$7:$D$906,1,0)),"",VLOOKUP($A36,'[1]liste reference'!$B$7:$D$906,1,0)),VLOOKUP($A36,'[1]liste reference'!$A$7:$D$906,2,0))</f>
        <v>Elodea canadensis</v>
      </c>
      <c r="E36" s="214" t="e">
        <f aca="false">IF(D36="",0,VLOOKUP(D36,D$22:D35,1,0))</f>
        <v>#N/A</v>
      </c>
      <c r="F36" s="224" t="n">
        <f aca="false">($B36*$B$7+$C36*$C$7)/100</f>
        <v>1</v>
      </c>
      <c r="G36" s="216"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7"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Elodea canadensis</v>
      </c>
      <c r="L36" s="219"/>
      <c r="M36" s="219"/>
      <c r="N36" s="219"/>
      <c r="O36" s="205"/>
      <c r="P36" s="206" t="n">
        <f aca="false">IF(ISTEXT(H36),"",(B36*$B$7/100)+(C36*$C$7/100))</f>
        <v>1</v>
      </c>
      <c r="Q36" s="207" t="n">
        <f aca="false">IF(OR(ISTEXT(H36),P36=0),"",IF(P36&lt;0.1,1,IF(P36&lt;1,2,IF(P36&lt;10,3,IF(P36&lt;50,4,IF(P36&gt;=50,5,""))))))</f>
        <v>3</v>
      </c>
      <c r="R36" s="207" t="n">
        <f aca="false">IF(ISERROR(Q36*I36),0,Q36*I36)</f>
        <v>30</v>
      </c>
      <c r="S36" s="207" t="n">
        <f aca="false">IF(ISERROR(Q36*I36*J36),0,Q36*I36*J36)</f>
        <v>60</v>
      </c>
      <c r="T36" s="220" t="n">
        <f aca="false">IF(ISERROR(Q36*J36),0,Q36*J36)</f>
        <v>6</v>
      </c>
      <c r="U36" s="208" t="str">
        <f aca="false">IF(AND(A36="",F36=0),"",IF(F36=0,"Il manque le(s) % de rec. !",""))</f>
        <v/>
      </c>
      <c r="V36" s="209"/>
      <c r="W36" s="209"/>
      <c r="X36" s="207" t="str">
        <f aca="false">IF(A36="new.cod","NEW.COD",IF(AND((Y36=""),ISTEXT(A36)),A36,IF(Y36="","",INDEX('[1]liste reference'!$A$7:$A$906,Y36))))</f>
        <v>ELO.CAN</v>
      </c>
      <c r="Y36" s="8" t="n">
        <f aca="false">IF(ISERROR(MATCH(A36,'[1]liste reference'!$A$7:$A$906,0)),IF(ISERROR(MATCH(A36,'[1]liste reference'!$B$7:$B$906,0)),"",(MATCH(A36,'[1]liste reference'!$B$7:$B$906,0))),(MATCH(A36,'[1]liste reference'!$A$7:$A$906,0)))</f>
        <v>344</v>
      </c>
      <c r="Z36" s="210"/>
      <c r="AA36" s="211"/>
      <c r="BB36" s="8" t="n">
        <f aca="false">IF(A36="","",1)</f>
        <v>1</v>
      </c>
    </row>
    <row r="37" customFormat="false" ht="12.75" hidden="false" customHeight="false" outlineLevel="0" collapsed="false">
      <c r="A37" s="194" t="s">
        <v>90</v>
      </c>
      <c r="B37" s="212"/>
      <c r="C37" s="213" t="n">
        <v>0.5</v>
      </c>
      <c r="D37" s="214" t="str">
        <f aca="false">IF(ISERROR(VLOOKUP($A37,'[1]liste reference'!$A$7:$D$906,2,0)),IF(ISERROR(VLOOKUP($A37,'[1]liste reference'!$B$7:$D$906,1,0)),"",VLOOKUP($A37,'[1]liste reference'!$B$7:$D$906,1,0)),VLOOKUP($A37,'[1]liste reference'!$A$7:$D$906,2,0))</f>
        <v>Lemna gibba</v>
      </c>
      <c r="E37" s="214" t="e">
        <f aca="false">IF(D37="",0,VLOOKUP(D37,D$22:D36,1,0))</f>
        <v>#N/A</v>
      </c>
      <c r="F37" s="224" t="n">
        <f aca="false">($B37*$B$7+$C37*$C$7)/100</f>
        <v>0.05</v>
      </c>
      <c r="G37" s="216"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7" t="n">
        <f aca="false">IF(ISNUMBER(H37),IF(ISERROR(VLOOKUP($A37,'[1]liste reference'!$A$7:$P$906,3,0)),IF(ISERROR(VLOOKUP($A37,'[1]liste reference'!$B$7:$P$906,2,0)),"",VLOOKUP($A37,'[1]liste reference'!$B$7:$P$906,2,0)),VLOOKUP($A37,'[1]liste reference'!$A$7:$P$906,3,0)),"")</f>
        <v>5</v>
      </c>
      <c r="J37" s="202" t="n">
        <f aca="false">IF(ISNUMBER(H37),IF(ISERROR(VLOOKUP($A37,'[1]liste reference'!$A$7:$P$906,4,0)),IF(ISERROR(VLOOKUP($A37,'[1]liste reference'!$B$7:$P$906,3,0)),"",VLOOKUP($A37,'[1]liste reference'!$B$7:$P$906,3,0)),VLOOKUP($A37,'[1]liste reference'!$A$7:$P$906,4,0)),"")</f>
        <v>3</v>
      </c>
      <c r="K37" s="218" t="str">
        <f aca="false">IF(A37="NEW.COD",AA37,IF(ISTEXT($E37),"DEJA SAISI !",IF(A37="","",IF(ISERROR(VLOOKUP($A37,'[1]liste reference'!$A$7:$D$906,2,0)),IF(ISERROR(VLOOKUP($A37,'[1]liste reference'!$B$7:$D$906,1,0)),"code non répertorié ou synonyme",VLOOKUP($A37,'[1]liste reference'!$B$7:$D$906,1,0)),VLOOKUP(A37,'[1]liste reference'!$A$7:$D$906,2,0)))))</f>
        <v>Lemna gibba</v>
      </c>
      <c r="L37" s="219"/>
      <c r="M37" s="219"/>
      <c r="N37" s="219"/>
      <c r="O37" s="205"/>
      <c r="P37" s="206" t="n">
        <f aca="false">IF(ISTEXT(H37),"",(B37*$B$7/100)+(C37*$C$7/100))</f>
        <v>0.05</v>
      </c>
      <c r="Q37" s="207" t="n">
        <f aca="false">IF(OR(ISTEXT(H37),P37=0),"",IF(P37&lt;0.1,1,IF(P37&lt;1,2,IF(P37&lt;10,3,IF(P37&lt;50,4,IF(P37&gt;=50,5,""))))))</f>
        <v>1</v>
      </c>
      <c r="R37" s="207" t="n">
        <f aca="false">IF(ISERROR(Q37*I37),0,Q37*I37)</f>
        <v>5</v>
      </c>
      <c r="S37" s="207" t="n">
        <f aca="false">IF(ISERROR(Q37*I37*J37),0,Q37*I37*J37)</f>
        <v>15</v>
      </c>
      <c r="T37" s="220" t="n">
        <f aca="false">IF(ISERROR(Q37*J37),0,Q37*J37)</f>
        <v>3</v>
      </c>
      <c r="U37" s="208" t="str">
        <f aca="false">IF(AND(A37="",F37=0),"",IF(F37=0,"Il manque le(s) % de rec. !",""))</f>
        <v/>
      </c>
      <c r="V37" s="225"/>
      <c r="X37" s="207" t="str">
        <f aca="false">IF(A37="new.cod","NEW.COD",IF(AND((Y37=""),ISTEXT(A37)),A37,IF(Y37="","",INDEX('[1]liste reference'!$A$7:$A$906,Y37))))</f>
        <v>LEM.GIB</v>
      </c>
      <c r="Y37" s="8" t="n">
        <f aca="false">IF(ISERROR(MATCH(A37,'[1]liste reference'!$A$7:$A$906,0)),IF(ISERROR(MATCH(A37,'[1]liste reference'!$B$7:$B$906,0)),"",(MATCH(A37,'[1]liste reference'!$B$7:$B$906,0))),(MATCH(A37,'[1]liste reference'!$A$7:$A$906,0)))</f>
        <v>360</v>
      </c>
      <c r="Z37" s="210"/>
      <c r="AA37" s="211"/>
      <c r="BB37" s="8" t="n">
        <f aca="false">IF(A37="","",1)</f>
        <v>1</v>
      </c>
    </row>
    <row r="38" customFormat="false" ht="12.75" hidden="false" customHeight="false" outlineLevel="0" collapsed="false">
      <c r="A38" s="194" t="s">
        <v>91</v>
      </c>
      <c r="B38" s="212" t="n">
        <v>0.2</v>
      </c>
      <c r="C38" s="213" t="n">
        <v>3</v>
      </c>
      <c r="D38" s="214" t="str">
        <f aca="false">IF(ISERROR(VLOOKUP($A38,'[1]liste reference'!$A$7:$D$906,2,0)),IF(ISERROR(VLOOKUP($A38,'[1]liste reference'!$B$7:$D$906,1,0)),"",VLOOKUP($A38,'[1]liste reference'!$B$7:$D$906,1,0)),VLOOKUP($A38,'[1]liste reference'!$A$7:$D$906,2,0))</f>
        <v>Ludwigia grandiflora        </v>
      </c>
      <c r="E38" s="214" t="e">
        <f aca="false">IF(D38="",0,VLOOKUP(D38,D$22:D37,1,0))</f>
        <v>#N/A</v>
      </c>
      <c r="F38" s="224" t="n">
        <f aca="false">($B38*$B$7+$C38*$C$7)/100</f>
        <v>0.48</v>
      </c>
      <c r="G38" s="216"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7"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8" t="str">
        <f aca="false">IF(A38="NEW.COD",AA38,IF(ISTEXT($E38),"DEJA SAISI !",IF(A38="","",IF(ISERROR(VLOOKUP($A38,'[1]liste reference'!$A$7:$D$906,2,0)),IF(ISERROR(VLOOKUP($A38,'[1]liste reference'!$B$7:$D$906,1,0)),"code non répertorié ou synonyme",VLOOKUP($A38,'[1]liste reference'!$B$7:$D$906,1,0)),VLOOKUP(A38,'[1]liste reference'!$A$7:$D$906,2,0)))))</f>
        <v>Ludwigia grandiflora        </v>
      </c>
      <c r="L38" s="219"/>
      <c r="M38" s="219"/>
      <c r="N38" s="219"/>
      <c r="O38" s="205"/>
      <c r="P38" s="206" t="n">
        <f aca="false">IF(ISTEXT(H38),"",(B38*$B$7/100)+(C38*$C$7/100))</f>
        <v>0.48</v>
      </c>
      <c r="Q38" s="207" t="n">
        <f aca="false">IF(OR(ISTEXT(H38),P38=0),"",IF(P38&lt;0.1,1,IF(P38&lt;1,2,IF(P38&lt;10,3,IF(P38&lt;50,4,IF(P38&gt;=50,5,""))))))</f>
        <v>2</v>
      </c>
      <c r="R38" s="207" t="n">
        <f aca="false">IF(ISERROR(Q38*I38),0,Q38*I38)</f>
        <v>0</v>
      </c>
      <c r="S38" s="207" t="n">
        <f aca="false">IF(ISERROR(Q38*I38*J38),0,Q38*I38*J38)</f>
        <v>0</v>
      </c>
      <c r="T38" s="220" t="n">
        <f aca="false">IF(ISERROR(Q38*J38),0,Q38*J38)</f>
        <v>0</v>
      </c>
      <c r="U38" s="208" t="str">
        <f aca="false">IF(AND(A38="",F38=0),"",IF(F38=0,"Il manque le(s) % de rec. !",""))</f>
        <v/>
      </c>
      <c r="V38" s="209"/>
      <c r="X38" s="207" t="str">
        <f aca="false">IF(A38="new.cod","NEW.COD",IF(AND((Y38=""),ISTEXT(A38)),A38,IF(Y38="","",INDEX('[1]liste reference'!$A$7:$A$906,Y38))))</f>
        <v>LUD.GRA</v>
      </c>
      <c r="Y38" s="8" t="n">
        <f aca="false">IF(ISERROR(MATCH(A38,'[1]liste reference'!$A$7:$A$906,0)),IF(ISERROR(MATCH(A38,'[1]liste reference'!$B$7:$B$906,0)),"",(MATCH(A38,'[1]liste reference'!$B$7:$B$906,0))),(MATCH(A38,'[1]liste reference'!$A$7:$A$906,0)))</f>
        <v>599</v>
      </c>
      <c r="Z38" s="210"/>
      <c r="AA38" s="211"/>
      <c r="BB38" s="8" t="n">
        <f aca="false">IF(A38="","",1)</f>
        <v>1</v>
      </c>
    </row>
    <row r="39" customFormat="false" ht="12.75" hidden="false" customHeight="false" outlineLevel="0" collapsed="false">
      <c r="A39" s="194" t="s">
        <v>92</v>
      </c>
      <c r="B39" s="212" t="n">
        <v>4</v>
      </c>
      <c r="C39" s="213" t="n">
        <v>5</v>
      </c>
      <c r="D39" s="214" t="str">
        <f aca="false">IF(ISERROR(VLOOKUP($A39,'[1]liste reference'!$A$7:$D$906,2,0)),IF(ISERROR(VLOOKUP($A39,'[1]liste reference'!$B$7:$D$906,1,0)),"",VLOOKUP($A39,'[1]liste reference'!$B$7:$D$906,1,0)),VLOOKUP($A39,'[1]liste reference'!$A$7:$D$906,2,0))</f>
        <v>Myriophyllum spicatum</v>
      </c>
      <c r="E39" s="214" t="e">
        <f aca="false">IF(D39="",0,VLOOKUP(D39,D$22:D38,1,0))</f>
        <v>#N/A</v>
      </c>
      <c r="F39" s="224" t="n">
        <f aca="false">($B39*$B$7+$C39*$C$7)/100</f>
        <v>4.1</v>
      </c>
      <c r="G39" s="216"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7" t="n">
        <f aca="false">IF(ISNUMBER(H39),IF(ISERROR(VLOOKUP($A39,'[1]liste reference'!$A$7:$P$906,3,0)),IF(ISERROR(VLOOKUP($A39,'[1]liste reference'!$B$7:$P$906,2,0)),"",VLOOKUP($A39,'[1]liste reference'!$B$7:$P$906,2,0)),VLOOKUP($A39,'[1]liste reference'!$A$7:$P$906,3,0)),"")</f>
        <v>8</v>
      </c>
      <c r="J39" s="202" t="n">
        <f aca="false">IF(ISNUMBER(H39),IF(ISERROR(VLOOKUP($A39,'[1]liste reference'!$A$7:$P$906,4,0)),IF(ISERROR(VLOOKUP($A39,'[1]liste reference'!$B$7:$P$906,3,0)),"",VLOOKUP($A39,'[1]liste reference'!$B$7:$P$906,3,0)),VLOOKUP($A39,'[1]liste reference'!$A$7:$P$906,4,0)),"")</f>
        <v>2</v>
      </c>
      <c r="K39" s="218" t="str">
        <f aca="false">IF(A39="NEW.COD",AA39,IF(ISTEXT($E39),"DEJA SAISI !",IF(A39="","",IF(ISERROR(VLOOKUP($A39,'[1]liste reference'!$A$7:$D$906,2,0)),IF(ISERROR(VLOOKUP($A39,'[1]liste reference'!$B$7:$D$906,1,0)),"code non répertorié ou synonyme",VLOOKUP($A39,'[1]liste reference'!$B$7:$D$906,1,0)),VLOOKUP(A39,'[1]liste reference'!$A$7:$D$906,2,0)))))</f>
        <v>Myriophyllum spicatum</v>
      </c>
      <c r="L39" s="219"/>
      <c r="M39" s="219"/>
      <c r="N39" s="219"/>
      <c r="O39" s="205"/>
      <c r="P39" s="206" t="n">
        <f aca="false">IF(ISTEXT(H39),"",(B39*$B$7/100)+(C39*$C$7/100))</f>
        <v>4.1</v>
      </c>
      <c r="Q39" s="207" t="n">
        <f aca="false">IF(OR(ISTEXT(H39),P39=0),"",IF(P39&lt;0.1,1,IF(P39&lt;1,2,IF(P39&lt;10,3,IF(P39&lt;50,4,IF(P39&gt;=50,5,""))))))</f>
        <v>3</v>
      </c>
      <c r="R39" s="207" t="n">
        <f aca="false">IF(ISERROR(Q39*I39),0,Q39*I39)</f>
        <v>24</v>
      </c>
      <c r="S39" s="207" t="n">
        <f aca="false">IF(ISERROR(Q39*I39*J39),0,Q39*I39*J39)</f>
        <v>48</v>
      </c>
      <c r="T39" s="220" t="n">
        <f aca="false">IF(ISERROR(Q39*J39),0,Q39*J39)</f>
        <v>6</v>
      </c>
      <c r="U39" s="208" t="str">
        <f aca="false">IF(AND(A39="",F39=0),"",IF(F39=0,"Il manque le(s) % de rec. !",""))</f>
        <v/>
      </c>
      <c r="V39" s="209"/>
      <c r="X39" s="207" t="str">
        <f aca="false">IF(A39="new.cod","NEW.COD",IF(AND((Y39=""),ISTEXT(A39)),A39,IF(Y39="","",INDEX('[1]liste reference'!$A$7:$A$906,Y39))))</f>
        <v>MYR.SPI</v>
      </c>
      <c r="Y39" s="8" t="n">
        <f aca="false">IF(ISERROR(MATCH(A39,'[1]liste reference'!$A$7:$A$906,0)),IF(ISERROR(MATCH(A39,'[1]liste reference'!$B$7:$B$906,0)),"",(MATCH(A39,'[1]liste reference'!$B$7:$B$906,0))),(MATCH(A39,'[1]liste reference'!$A$7:$A$906,0)))</f>
        <v>377</v>
      </c>
      <c r="Z39" s="210"/>
      <c r="AA39" s="211"/>
      <c r="BB39" s="8" t="n">
        <f aca="false">IF(A39="","",1)</f>
        <v>1</v>
      </c>
    </row>
    <row r="40" customFormat="false" ht="12.75" hidden="false" customHeight="false" outlineLevel="0" collapsed="false">
      <c r="A40" s="194" t="s">
        <v>93</v>
      </c>
      <c r="B40" s="212"/>
      <c r="C40" s="213" t="n">
        <v>0.5</v>
      </c>
      <c r="D40" s="214" t="str">
        <f aca="false">IF(ISERROR(VLOOKUP($A40,'[1]liste reference'!$A$7:$D$906,2,0)),IF(ISERROR(VLOOKUP($A40,'[1]liste reference'!$B$7:$D$906,1,0)),"",VLOOKUP($A40,'[1]liste reference'!$B$7:$D$906,1,0)),VLOOKUP($A40,'[1]liste reference'!$A$7:$D$906,2,0))</f>
        <v>Phalaris arundinacea</v>
      </c>
      <c r="E40" s="214" t="e">
        <f aca="false">IF(D40="",0,VLOOKUP(D40,D$22:D39,1,0))</f>
        <v>#N/A</v>
      </c>
      <c r="F40" s="224" t="n">
        <f aca="false">($B40*$B$7+$C40*$C$7)/100</f>
        <v>0.05</v>
      </c>
      <c r="G40" s="216"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7"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8" t="str">
        <f aca="false">IF(A40="NEW.COD",AA40,IF(ISTEXT($E40),"DEJA SAISI !",IF(A40="","",IF(ISERROR(VLOOKUP($A40,'[1]liste reference'!$A$7:$D$906,2,0)),IF(ISERROR(VLOOKUP($A40,'[1]liste reference'!$B$7:$D$906,1,0)),"code non répertorié ou synonyme",VLOOKUP($A40,'[1]liste reference'!$B$7:$D$906,1,0)),VLOOKUP(A40,'[1]liste reference'!$A$7:$D$906,2,0)))))</f>
        <v>Phalaris arundinacea</v>
      </c>
      <c r="L40" s="219"/>
      <c r="M40" s="219"/>
      <c r="N40" s="219"/>
      <c r="O40" s="205"/>
      <c r="P40" s="206" t="n">
        <f aca="false">IF(ISTEXT(H40),"",(B40*$B$7/100)+(C40*$C$7/100))</f>
        <v>0.05</v>
      </c>
      <c r="Q40" s="207" t="n">
        <f aca="false">IF(OR(ISTEXT(H40),P40=0),"",IF(P40&lt;0.1,1,IF(P40&lt;1,2,IF(P40&lt;10,3,IF(P40&lt;50,4,IF(P40&gt;=50,5,""))))))</f>
        <v>1</v>
      </c>
      <c r="R40" s="207" t="n">
        <f aca="false">IF(ISERROR(Q40*I40),0,Q40*I40)</f>
        <v>10</v>
      </c>
      <c r="S40" s="207" t="n">
        <f aca="false">IF(ISERROR(Q40*I40*J40),0,Q40*I40*J40)</f>
        <v>10</v>
      </c>
      <c r="T40" s="220" t="n">
        <f aca="false">IF(ISERROR(Q40*J40),0,Q40*J40)</f>
        <v>1</v>
      </c>
      <c r="U40" s="208" t="str">
        <f aca="false">IF(AND(A40="",F40=0),"",IF(F40=0,"Il manque le(s) % de rec. !",""))</f>
        <v/>
      </c>
      <c r="V40" s="209"/>
      <c r="X40" s="207" t="str">
        <f aca="false">IF(A40="new.cod","NEW.COD",IF(AND((Y40=""),ISTEXT(A40)),A40,IF(Y40="","",INDEX('[1]liste reference'!$A$7:$A$906,Y40))))</f>
        <v>PHA.ARU</v>
      </c>
      <c r="Y40" s="8" t="n">
        <f aca="false">IF(ISERROR(MATCH(A40,'[1]liste reference'!$A$7:$A$906,0)),IF(ISERROR(MATCH(A40,'[1]liste reference'!$B$7:$B$906,0)),"",(MATCH(A40,'[1]liste reference'!$B$7:$B$906,0))),(MATCH(A40,'[1]liste reference'!$A$7:$A$906,0)))</f>
        <v>640</v>
      </c>
      <c r="Z40" s="210"/>
      <c r="AA40" s="211"/>
      <c r="BB40" s="8" t="n">
        <f aca="false">IF(A40="","",1)</f>
        <v>1</v>
      </c>
    </row>
    <row r="41" customFormat="false" ht="12.75" hidden="false" customHeight="false" outlineLevel="0" collapsed="false">
      <c r="A41" s="194" t="s">
        <v>94</v>
      </c>
      <c r="B41" s="212"/>
      <c r="C41" s="213" t="n">
        <v>0.5</v>
      </c>
      <c r="D41" s="214" t="str">
        <f aca="false">IF(ISERROR(VLOOKUP($A41,'[1]liste reference'!$A$7:$D$906,2,0)),IF(ISERROR(VLOOKUP($A41,'[1]liste reference'!$B$7:$D$906,1,0)),"",VLOOKUP($A41,'[1]liste reference'!$B$7:$D$906,1,0)),VLOOKUP($A41,'[1]liste reference'!$A$7:$D$906,2,0))</f>
        <v>Polygonum hydropiper (Persicaria hydropiper)</v>
      </c>
      <c r="E41" s="214" t="e">
        <f aca="false">IF(D41="",0,VLOOKUP(D41,D$22:D40,1,0))</f>
        <v>#N/A</v>
      </c>
      <c r="F41" s="224" t="n">
        <f aca="false">($B41*$B$7+$C41*$C$7)/100</f>
        <v>0.05</v>
      </c>
      <c r="G41" s="216"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7" t="n">
        <f aca="false">IF(ISNUMBER(H41),IF(ISERROR(VLOOKUP($A41,'[1]liste reference'!$A$7:$P$906,3,0)),IF(ISERROR(VLOOKUP($A41,'[1]liste reference'!$B$7:$P$906,2,0)),"",VLOOKUP($A41,'[1]liste reference'!$B$7:$P$906,2,0)),VLOOKUP($A41,'[1]liste reference'!$A$7:$P$906,3,0)),"")</f>
        <v>8</v>
      </c>
      <c r="J41" s="202" t="n">
        <f aca="false">IF(ISNUMBER(H41),IF(ISERROR(VLOOKUP($A41,'[1]liste reference'!$A$7:$P$906,4,0)),IF(ISERROR(VLOOKUP($A41,'[1]liste reference'!$B$7:$P$906,3,0)),"",VLOOKUP($A41,'[1]liste reference'!$B$7:$P$906,3,0)),VLOOKUP($A41,'[1]liste reference'!$A$7:$P$906,4,0)),"")</f>
        <v>2</v>
      </c>
      <c r="K41" s="218" t="str">
        <f aca="false">IF(A41="NEW.COD",AA41,IF(ISTEXT($E41),"DEJA SAISI !",IF(A41="","",IF(ISERROR(VLOOKUP($A41,'[1]liste reference'!$A$7:$D$906,2,0)),IF(ISERROR(VLOOKUP($A41,'[1]liste reference'!$B$7:$D$906,1,0)),"code non répertorié ou synonyme",VLOOKUP($A41,'[1]liste reference'!$B$7:$D$906,1,0)),VLOOKUP(A41,'[1]liste reference'!$A$7:$D$906,2,0)))))</f>
        <v>Polygonum hydropiper (Persicaria hydropiper)</v>
      </c>
      <c r="L41" s="219"/>
      <c r="M41" s="219"/>
      <c r="N41" s="219"/>
      <c r="O41" s="205"/>
      <c r="P41" s="206" t="n">
        <f aca="false">IF(ISTEXT(H41),"",(B41*$B$7/100)+(C41*$C$7/100))</f>
        <v>0.05</v>
      </c>
      <c r="Q41" s="207" t="n">
        <f aca="false">IF(OR(ISTEXT(H41),P41=0),"",IF(P41&lt;0.1,1,IF(P41&lt;1,2,IF(P41&lt;10,3,IF(P41&lt;50,4,IF(P41&gt;=50,5,""))))))</f>
        <v>1</v>
      </c>
      <c r="R41" s="207" t="n">
        <f aca="false">IF(ISERROR(Q41*I41),0,Q41*I41)</f>
        <v>8</v>
      </c>
      <c r="S41" s="207" t="n">
        <f aca="false">IF(ISERROR(Q41*I41*J41),0,Q41*I41*J41)</f>
        <v>16</v>
      </c>
      <c r="T41" s="220" t="n">
        <f aca="false">IF(ISERROR(Q41*J41),0,Q41*J41)</f>
        <v>2</v>
      </c>
      <c r="U41" s="208" t="str">
        <f aca="false">IF(AND(A41="",F41=0),"",IF(F41=0,"Il manque le(s) % de rec. !",""))</f>
        <v/>
      </c>
      <c r="V41" s="209"/>
      <c r="X41" s="207" t="str">
        <f aca="false">IF(A41="new.cod","NEW.COD",IF(AND((Y41=""),ISTEXT(A41)),A41,IF(Y41="","",INDEX('[1]liste reference'!$A$7:$A$906,Y41))))</f>
        <v>POL.HYD</v>
      </c>
      <c r="Y41" s="8" t="n">
        <f aca="false">IF(ISERROR(MATCH(A41,'[1]liste reference'!$A$7:$A$906,0)),IF(ISERROR(MATCH(A41,'[1]liste reference'!$B$7:$B$906,0)),"",(MATCH(A41,'[1]liste reference'!$B$7:$B$906,0))),(MATCH(A41,'[1]liste reference'!$A$7:$A$906,0)))</f>
        <v>643</v>
      </c>
      <c r="Z41" s="210"/>
      <c r="AA41" s="211"/>
      <c r="BB41" s="8" t="n">
        <f aca="false">IF(A41="","",1)</f>
        <v>1</v>
      </c>
    </row>
    <row r="42" customFormat="false" ht="12.75" hidden="false" customHeight="false" outlineLevel="0" collapsed="false">
      <c r="A42" s="194" t="s">
        <v>85</v>
      </c>
      <c r="B42" s="212" t="n">
        <v>0.2</v>
      </c>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0.18</v>
      </c>
      <c r="G42" s="216" t="str">
        <f aca="false">IF(A42="","",IF(ISERROR(VLOOKUP($A42,'[1]liste reference'!$A$7:$P$906,13,0)),IF(ISERROR(VLOOKUP($A42,'[1]liste reference'!$B$7:$P$906,12,0)),"    -",VLOOKUP($A42,'[1]liste reference'!$B$7:$P$906,12,0)),VLOOKUP($A42,'[1]liste reference'!$A$7:$P$906,13,0)))</f>
        <v>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Polygonum persicaria</v>
      </c>
      <c r="L42" s="219"/>
      <c r="M42" s="219"/>
      <c r="N42" s="219"/>
      <c r="O42" s="205" t="s">
        <v>86</v>
      </c>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NEW.COD</v>
      </c>
      <c r="Y42" s="8" t="str">
        <f aca="false">IF(ISERROR(MATCH(A42,'[1]liste reference'!$A$7:$A$906,0)),IF(ISERROR(MATCH(A42,'[1]liste reference'!$B$7:$B$906,0)),"",(MATCH(A42,'[1]liste reference'!$B$7:$B$906,0))),(MATCH(A42,'[1]liste reference'!$A$7:$A$906,0)))</f>
        <v/>
      </c>
      <c r="Z42" s="210" t="s">
        <v>86</v>
      </c>
      <c r="AA42" s="211" t="s">
        <v>95</v>
      </c>
      <c r="BB42" s="8" t="n">
        <f aca="false">IF(A42="","",1)</f>
        <v>1</v>
      </c>
    </row>
    <row r="43" customFormat="false" ht="12.75" hidden="false" customHeight="false" outlineLevel="0" collapsed="false">
      <c r="A43" s="194" t="s">
        <v>15</v>
      </c>
      <c r="B43" s="212" t="n">
        <v>15</v>
      </c>
      <c r="C43" s="213" t="n">
        <v>2</v>
      </c>
      <c r="D43" s="214" t="str">
        <f aca="false">IF(ISERROR(VLOOKUP($A43,'[1]liste reference'!$A$7:$D$906,2,0)),IF(ISERROR(VLOOKUP($A43,'[1]liste reference'!$B$7:$D$906,1,0)),"",VLOOKUP($A43,'[1]liste reference'!$B$7:$D$906,1,0)),VLOOKUP($A43,'[1]liste reference'!$A$7:$D$906,2,0))</f>
        <v>Ranunculus fluitans</v>
      </c>
      <c r="E43" s="214" t="e">
        <f aca="false">IF(D43="",0,VLOOKUP(D43,D$22:D42,1,0))</f>
        <v>#N/A</v>
      </c>
      <c r="F43" s="224" t="n">
        <f aca="false">($B43*$B$7+$C43*$C$7)/100</f>
        <v>13.7</v>
      </c>
      <c r="G43" s="216"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7"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2</v>
      </c>
      <c r="K43" s="218" t="str">
        <f aca="false">IF(A43="NEW.COD",AA43,IF(ISTEXT($E43),"DEJA SAISI !",IF(A43="","",IF(ISERROR(VLOOKUP($A43,'[1]liste reference'!$A$7:$D$906,2,0)),IF(ISERROR(VLOOKUP($A43,'[1]liste reference'!$B$7:$D$906,1,0)),"code non répertorié ou synonyme",VLOOKUP($A43,'[1]liste reference'!$B$7:$D$906,1,0)),VLOOKUP(A43,'[1]liste reference'!$A$7:$D$906,2,0)))))</f>
        <v>Ranunculus fluitans</v>
      </c>
      <c r="L43" s="219"/>
      <c r="M43" s="219"/>
      <c r="N43" s="219"/>
      <c r="O43" s="205"/>
      <c r="P43" s="206" t="n">
        <f aca="false">IF(ISTEXT(H43),"",(B43*$B$7/100)+(C43*$C$7/100))</f>
        <v>13.7</v>
      </c>
      <c r="Q43" s="207" t="n">
        <f aca="false">IF(OR(ISTEXT(H43),P43=0),"",IF(P43&lt;0.1,1,IF(P43&lt;1,2,IF(P43&lt;10,3,IF(P43&lt;50,4,IF(P43&gt;=50,5,""))))))</f>
        <v>4</v>
      </c>
      <c r="R43" s="207" t="n">
        <f aca="false">IF(ISERROR(Q43*I43),0,Q43*I43)</f>
        <v>40</v>
      </c>
      <c r="S43" s="207" t="n">
        <f aca="false">IF(ISERROR(Q43*I43*J43),0,Q43*I43*J43)</f>
        <v>80</v>
      </c>
      <c r="T43" s="220" t="n">
        <f aca="false">IF(ISERROR(Q43*J43),0,Q43*J43)</f>
        <v>8</v>
      </c>
      <c r="U43" s="208" t="str">
        <f aca="false">IF(AND(A43="",F43=0),"",IF(F43=0,"Il manque le(s) % de rec. !",""))</f>
        <v/>
      </c>
      <c r="V43" s="209"/>
      <c r="X43" s="207" t="str">
        <f aca="false">IF(A43="new.cod","NEW.COD",IF(AND((Y43=""),ISTEXT(A43)),A43,IF(Y43="","",INDEX('[1]liste reference'!$A$7:$A$906,Y43))))</f>
        <v>RAN.FLU</v>
      </c>
      <c r="Y43" s="8" t="n">
        <f aca="false">IF(ISERROR(MATCH(A43,'[1]liste reference'!$A$7:$A$906,0)),IF(ISERROR(MATCH(A43,'[1]liste reference'!$B$7:$B$906,0)),"",(MATCH(A43,'[1]liste reference'!$B$7:$B$906,0))),(MATCH(A43,'[1]liste reference'!$A$7:$A$906,0)))</f>
        <v>460</v>
      </c>
      <c r="Z43" s="210"/>
      <c r="AA43" s="211"/>
      <c r="BB43" s="8" t="n">
        <f aca="false">IF(A43="","",1)</f>
        <v>1</v>
      </c>
    </row>
    <row r="44" customFormat="false" ht="12.75" hidden="false" customHeight="false" outlineLevel="0" collapsed="false">
      <c r="A44" s="194" t="s">
        <v>85</v>
      </c>
      <c r="B44" s="212"/>
      <c r="C44" s="213" t="n">
        <v>0.2</v>
      </c>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0.02</v>
      </c>
      <c r="G44" s="216" t="str">
        <f aca="false">IF(A44="","",IF(ISERROR(VLOOKUP($A44,'[1]liste reference'!$A$7:$P$906,13,0)),IF(ISERROR(VLOOKUP($A44,'[1]liste reference'!$B$7:$P$906,12,0)),"    -",VLOOKUP($A44,'[1]liste reference'!$B$7:$P$906,12,0)),VLOOKUP($A44,'[1]liste reference'!$A$7:$P$906,13,0)))</f>
        <v>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Rorippa sylvestris</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NEW.COD</v>
      </c>
      <c r="Y44" s="8" t="str">
        <f aca="false">IF(ISERROR(MATCH(A44,'[1]liste reference'!$A$7:$A$906,0)),IF(ISERROR(MATCH(A44,'[1]liste reference'!$B$7:$B$906,0)),"",(MATCH(A44,'[1]liste reference'!$B$7:$B$906,0))),(MATCH(A44,'[1]liste reference'!$A$7:$A$906,0)))</f>
        <v/>
      </c>
      <c r="Z44" s="210"/>
      <c r="AA44" s="211" t="s">
        <v>96</v>
      </c>
      <c r="BB44" s="8" t="n">
        <f aca="false">IF(A44="","",1)</f>
        <v>1</v>
      </c>
    </row>
    <row r="45" customFormat="false" ht="12.75" hidden="false" customHeight="false" outlineLevel="0" collapsed="false">
      <c r="A45" s="194" t="s">
        <v>97</v>
      </c>
      <c r="B45" s="212"/>
      <c r="C45" s="213" t="n">
        <v>0.2</v>
      </c>
      <c r="D45" s="214" t="str">
        <f aca="false">IF(ISERROR(VLOOKUP($A45,'[1]liste reference'!$A$7:$D$906,2,0)),IF(ISERROR(VLOOKUP($A45,'[1]liste reference'!$B$7:$D$906,1,0)),"",VLOOKUP($A45,'[1]liste reference'!$B$7:$D$906,1,0)),VLOOKUP($A45,'[1]liste reference'!$A$7:$D$906,2,0))</f>
        <v>Spirodela polyrhiza</v>
      </c>
      <c r="E45" s="214" t="e">
        <f aca="false">IF(D45="",0,VLOOKUP(D45,D$22:D44,1,0))</f>
        <v>#N/A</v>
      </c>
      <c r="F45" s="224" t="n">
        <f aca="false">($B45*$B$7+$C45*$C$7)/100</f>
        <v>0.02</v>
      </c>
      <c r="G45" s="216" t="str">
        <f aca="false">IF(A45="","",IF(ISERROR(VLOOKUP($A45,'[1]liste reference'!$A$7:$P$906,13,0)),IF(ISERROR(VLOOKUP($A45,'[1]liste reference'!$B$7:$P$906,12,0)),"    -",VLOOKUP($A45,'[1]liste reference'!$B$7:$P$906,12,0)),VLOOKUP($A45,'[1]liste reference'!$A$7:$P$906,13,0)))</f>
        <v>PHy</v>
      </c>
      <c r="H45" s="200" t="n">
        <f aca="false">IF(A45="","x",IF(ISERROR(VLOOKUP($A45,'[1]liste reference'!$A$7:$P$906,14,0)),IF(ISERROR(VLOOKUP($A45,'[1]liste reference'!$B$7:$P$906,13,0)),"x",VLOOKUP($A45,'[1]liste reference'!$B$7:$P$906,13,0)),VLOOKUP($A45,'[1]liste reference'!$A$7:$P$906,14,0)))</f>
        <v>7</v>
      </c>
      <c r="I45" s="217" t="n">
        <f aca="false">IF(ISNUMBER(H45),IF(ISERROR(VLOOKUP($A45,'[1]liste reference'!$A$7:$P$906,3,0)),IF(ISERROR(VLOOKUP($A45,'[1]liste reference'!$B$7:$P$906,2,0)),"",VLOOKUP($A45,'[1]liste reference'!$B$7:$P$906,2,0)),VLOOKUP($A45,'[1]liste reference'!$A$7:$P$906,3,0)),"")</f>
        <v>6</v>
      </c>
      <c r="J45" s="202" t="n">
        <f aca="false">IF(ISNUMBER(H45),IF(ISERROR(VLOOKUP($A45,'[1]liste reference'!$A$7:$P$906,4,0)),IF(ISERROR(VLOOKUP($A45,'[1]liste reference'!$B$7:$P$906,3,0)),"",VLOOKUP($A45,'[1]liste reference'!$B$7:$P$906,3,0)),VLOOKUP($A45,'[1]liste reference'!$A$7:$P$906,4,0)),"")</f>
        <v>2</v>
      </c>
      <c r="K45" s="218" t="str">
        <f aca="false">IF(A45="NEW.COD",AA45,IF(ISTEXT($E45),"DEJA SAISI !",IF(A45="","",IF(ISERROR(VLOOKUP($A45,'[1]liste reference'!$A$7:$D$906,2,0)),IF(ISERROR(VLOOKUP($A45,'[1]liste reference'!$B$7:$D$906,1,0)),"code non répertorié ou synonyme",VLOOKUP($A45,'[1]liste reference'!$B$7:$D$906,1,0)),VLOOKUP(A45,'[1]liste reference'!$A$7:$D$906,2,0)))))</f>
        <v>Spirodela polyrhiza</v>
      </c>
      <c r="L45" s="219"/>
      <c r="M45" s="219"/>
      <c r="N45" s="219"/>
      <c r="O45" s="205"/>
      <c r="P45" s="206" t="n">
        <f aca="false">IF(ISTEXT(H45),"",(B45*$B$7/100)+(C45*$C$7/100))</f>
        <v>0.02</v>
      </c>
      <c r="Q45" s="207" t="n">
        <f aca="false">IF(OR(ISTEXT(H45),P45=0),"",IF(P45&lt;0.1,1,IF(P45&lt;1,2,IF(P45&lt;10,3,IF(P45&lt;50,4,IF(P45&gt;=50,5,""))))))</f>
        <v>1</v>
      </c>
      <c r="R45" s="207" t="n">
        <f aca="false">IF(ISERROR(Q45*I45),0,Q45*I45)</f>
        <v>6</v>
      </c>
      <c r="S45" s="207" t="n">
        <f aca="false">IF(ISERROR(Q45*I45*J45),0,Q45*I45*J45)</f>
        <v>12</v>
      </c>
      <c r="T45" s="220" t="n">
        <f aca="false">IF(ISERROR(Q45*J45),0,Q45*J45)</f>
        <v>2</v>
      </c>
      <c r="U45" s="208" t="str">
        <f aca="false">IF(AND(A45="",F45=0),"",IF(F45=0,"Il manque le(s) % de rec. !",""))</f>
        <v/>
      </c>
      <c r="V45" s="209"/>
      <c r="X45" s="207" t="str">
        <f aca="false">IF(A45="new.cod","NEW.COD",IF(AND((Y45=""),ISTEXT(A45)),A45,IF(Y45="","",INDEX('[1]liste reference'!$A$7:$A$906,Y45))))</f>
        <v>SPR.POL</v>
      </c>
      <c r="Y45" s="8" t="n">
        <f aca="false">IF(ISERROR(MATCH(A45,'[1]liste reference'!$A$7:$A$906,0)),IF(ISERROR(MATCH(A45,'[1]liste reference'!$B$7:$B$906,0)),"",(MATCH(A45,'[1]liste reference'!$B$7:$B$906,0))),(MATCH(A45,'[1]liste reference'!$A$7:$A$906,0)))</f>
        <v>491</v>
      </c>
      <c r="Z45" s="210"/>
      <c r="AA45" s="211"/>
      <c r="BB45" s="8" t="n">
        <f aca="false">IF(A45="","",1)</f>
        <v>1</v>
      </c>
    </row>
    <row r="46" customFormat="false" ht="12.75"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IF(D59="",0,VLOOKUP(D59,D$22:D52,1,0))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IF(D74="",0,VLOOKUP(D74,D$22:D57,1,0))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IF(D75="",0,VLOOKUP(D75,D$22:D73,1,0))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IF(D76="",0,VLOOKUP(D76,D$22:D73,1,0))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IF(D77="",0,VLOOKUP(D77,D$22:D73,1,0))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IF(D79="",0,VLOOKUP(D79,D$21:D78,1,0))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22"/>
      <c r="M79" s="222"/>
      <c r="N79" s="222"/>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W79" s="226"/>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7"/>
      <c r="B80" s="228"/>
      <c r="C80" s="229"/>
      <c r="D80" s="230" t="str">
        <f aca="false">IF(ISERROR(VLOOKUP($A80,'[1]liste reference'!$A$7:$D$906,2,0)),IF(ISERROR(VLOOKUP($A80,'[1]liste reference'!$B$7:$D$906,1,0)),"",VLOOKUP($A80,'[1]liste reference'!$B$7:$D$906,1,0)),VLOOKUP($A80,'[1]liste reference'!$A$7:$D$906,2,0))</f>
        <v/>
      </c>
      <c r="E80" s="231" t="n">
        <f aca="false">IF(D80="",0,VLOOKUP(D80,D$20:D78,1,0))</f>
        <v>0</v>
      </c>
      <c r="F80" s="232" t="n">
        <f aca="false">($B80*$B$7+$C80*$C$7)/100</f>
        <v>0</v>
      </c>
      <c r="G80" s="233"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4" t="str">
        <f aca="false">IF(ISNUMBER(H80),IF(ISERROR(VLOOKUP($A80,'[1]liste reference'!$A$7:$P$906,3,0)),IF(ISERROR(VLOOKUP($A80,'[1]liste reference'!$B$7:$P$906,2,0)),"",VLOOKUP($A80,'[1]liste reference'!$B$7:$P$906,2,0)),VLOOKUP($A80,'[1]liste reference'!$A$7:$P$906,3,0)),"")</f>
        <v/>
      </c>
      <c r="J80" s="234" t="str">
        <f aca="false">IF(ISNUMBER(H80),IF(ISERROR(VLOOKUP($A80,'[1]liste reference'!$A$7:$P$906,4,0)),IF(ISERROR(VLOOKUP($A80,'[1]liste reference'!$B$7:$P$906,3,0)),"",VLOOKUP($A80,'[1]liste reference'!$B$7:$P$906,3,0)),VLOOKUP($A80,'[1]liste reference'!$A$7:$P$906,4,0)),"")</f>
        <v/>
      </c>
      <c r="K80" s="235" t="str">
        <f aca="false">IF(A80="NEW.COD",AA80,IF(ISTEXT($E80),"DEJA SAISI !",IF(A80="","",IF(ISERROR(VLOOKUP($A80,'[1]liste reference'!$A$7:$D$906,2,0)),IF(ISERROR(VLOOKUP($A80,'[1]liste reference'!$B$7:$D$906,1,0)),"code non répertorié ou synonyme",VLOOKUP($A80,'[1]liste reference'!$B$7:$D$906,1,0)),VLOOKUP(A80,'[1]liste reference'!$A$7:$D$906,2,0)))))</f>
        <v/>
      </c>
      <c r="L80" s="236"/>
      <c r="M80" s="236"/>
      <c r="N80" s="236"/>
      <c r="O80" s="237"/>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38"/>
      <c r="W80" s="23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0" t="s">
        <v>98</v>
      </c>
      <c r="B81" s="152"/>
      <c r="C81" s="152"/>
      <c r="D81" s="152"/>
      <c r="E81" s="152"/>
      <c r="F81" s="152"/>
      <c r="G81" s="152"/>
      <c r="H81" s="152"/>
      <c r="I81" s="152"/>
      <c r="J81" s="152"/>
      <c r="K81" s="152"/>
      <c r="L81" s="152"/>
      <c r="M81" s="207"/>
      <c r="N81" s="207"/>
      <c r="O81" s="241"/>
      <c r="P81" s="241"/>
      <c r="Q81" s="241"/>
      <c r="R81" s="241"/>
      <c r="S81" s="8"/>
      <c r="T81" s="8"/>
      <c r="U81" s="241"/>
      <c r="V81" s="241"/>
      <c r="W81" s="241"/>
      <c r="X81" s="242"/>
      <c r="Y81" s="242"/>
      <c r="Z81" s="242"/>
      <c r="AA81" s="243"/>
      <c r="AB81" s="243"/>
      <c r="AC81" s="243"/>
    </row>
    <row r="82" customFormat="false" ht="12.75" hidden="true" customHeight="false" outlineLevel="0" collapsed="false">
      <c r="A82" s="244" t="str">
        <f aca="false">A3</f>
        <v>LOIRE</v>
      </c>
      <c r="B82" s="245" t="str">
        <f aca="false">C3</f>
        <v>Luneau</v>
      </c>
      <c r="C82" s="246" t="n">
        <f aca="false">A4</f>
        <v>39681</v>
      </c>
      <c r="D82" s="247" t="n">
        <f aca="false">IF(ISERROR(SUM($S$23:$S$80)/SUM($T$23:$T$80)),"",SUM($S$23:$S$80)/SUM($T$23:$T$80))</f>
        <v>9.17857142857143</v>
      </c>
      <c r="E82" s="248" t="n">
        <f aca="false">N13</f>
        <v>23</v>
      </c>
      <c r="F82" s="249" t="n">
        <f aca="false">N14</f>
        <v>18</v>
      </c>
      <c r="G82" s="249" t="n">
        <f aca="false">N15</f>
        <v>7</v>
      </c>
      <c r="H82" s="249" t="n">
        <f aca="false">N16</f>
        <v>10</v>
      </c>
      <c r="I82" s="249" t="n">
        <f aca="false">N17</f>
        <v>1</v>
      </c>
      <c r="J82" s="250" t="n">
        <f aca="false">N8</f>
        <v>8.94444444444444</v>
      </c>
      <c r="K82" s="247" t="n">
        <f aca="false">N9</f>
        <v>2.66727934138277</v>
      </c>
      <c r="L82" s="248" t="n">
        <f aca="false">N10</f>
        <v>4</v>
      </c>
      <c r="M82" s="248" t="n">
        <f aca="false">N11</f>
        <v>13</v>
      </c>
      <c r="N82" s="247" t="n">
        <f aca="false">O8</f>
        <v>1.66666666666667</v>
      </c>
      <c r="O82" s="247" t="n">
        <f aca="false">O9</f>
        <v>0.594088525786005</v>
      </c>
      <c r="P82" s="248" t="n">
        <f aca="false">O10</f>
        <v>1</v>
      </c>
      <c r="Q82" s="248" t="n">
        <f aca="false">O11</f>
        <v>3</v>
      </c>
      <c r="R82" s="251" t="n">
        <f aca="false">F21</f>
        <v>22.411</v>
      </c>
      <c r="S82" s="248" t="n">
        <f aca="false">K11</f>
        <v>0</v>
      </c>
      <c r="T82" s="248" t="n">
        <f aca="false">K12</f>
        <v>11</v>
      </c>
      <c r="U82" s="248" t="n">
        <f aca="false">K13</f>
        <v>0</v>
      </c>
      <c r="V82" s="252" t="n">
        <f aca="false">K14</f>
        <v>0</v>
      </c>
      <c r="W82" s="253" t="n">
        <f aca="false">K15</f>
        <v>8</v>
      </c>
      <c r="Y82" s="226"/>
      <c r="Z82" s="226"/>
      <c r="AA82" s="243"/>
      <c r="AB82" s="243"/>
      <c r="AC82" s="243"/>
    </row>
    <row r="83" customFormat="false" ht="12.75" hidden="true" customHeight="false" outlineLevel="0" collapsed="false">
      <c r="P83" s="8"/>
      <c r="Q83" s="8"/>
      <c r="R83" s="8"/>
      <c r="S83" s="8"/>
      <c r="T83" s="8"/>
      <c r="U83" s="8"/>
    </row>
    <row r="84" customFormat="false" ht="12.75" hidden="true" customHeight="false" outlineLevel="0" collapsed="false">
      <c r="P84" s="254" t="s">
        <v>99</v>
      </c>
      <c r="Q84" s="8"/>
      <c r="R84" s="208"/>
      <c r="S84" s="8"/>
      <c r="T84" s="8"/>
      <c r="U84" s="8"/>
    </row>
    <row r="85" customFormat="false" ht="12.75" hidden="true" customHeight="false" outlineLevel="0" collapsed="false">
      <c r="P85" s="8" t="s">
        <v>100</v>
      </c>
      <c r="Q85" s="8"/>
      <c r="R85" s="208" t="n">
        <f aca="false">VLOOKUP(MAX($R$23:$R$80),($R$23:$T$80),1,0)</f>
        <v>40</v>
      </c>
      <c r="S85" s="8"/>
      <c r="T85" s="8"/>
      <c r="U85" s="8"/>
    </row>
    <row r="86" customFormat="false" ht="12.75" hidden="true" customHeight="false" outlineLevel="0" collapsed="false">
      <c r="P86" s="8" t="s">
        <v>101</v>
      </c>
      <c r="Q86" s="8"/>
      <c r="R86" s="208" t="n">
        <f aca="false">VLOOKUP((R85),($R$23:$T$80),2,0)</f>
        <v>80</v>
      </c>
      <c r="S86" s="8"/>
      <c r="T86" s="8"/>
      <c r="U86" s="8"/>
    </row>
    <row r="87" customFormat="false" ht="12.75" hidden="true" customHeight="false" outlineLevel="0" collapsed="false">
      <c r="P87" s="8" t="s">
        <v>102</v>
      </c>
      <c r="Q87" s="8"/>
      <c r="R87" s="208" t="n">
        <f aca="false">VLOOKUP((R85),($R$23:$T$80),3,0)</f>
        <v>8</v>
      </c>
      <c r="S87" s="8"/>
    </row>
    <row r="88" customFormat="false" ht="12.75" hidden="true" customHeight="false" outlineLevel="0" collapsed="false">
      <c r="P88" s="8" t="s">
        <v>103</v>
      </c>
      <c r="Q88" s="8"/>
      <c r="R88" s="255" t="n">
        <f aca="false">IF(ISERROR(SUM($S$23:$S$80)/SUM($T$23:$T$80)),"",(SUM($S$23:$S$80)-R86)/(SUM($T$23:$T$80)-R87))</f>
        <v>9.04166666666667</v>
      </c>
      <c r="S88" s="8"/>
    </row>
    <row r="89" customFormat="false" ht="12.75" hidden="true" customHeight="false" outlineLevel="0" collapsed="false">
      <c r="P89" s="207" t="s">
        <v>104</v>
      </c>
      <c r="Q89" s="207"/>
      <c r="R89" s="207" t="str">
        <f aca="false">INDEX('[1]liste reference'!$A$7:$A$906,$S$89)</f>
        <v>RAN.FLU</v>
      </c>
      <c r="S89" s="8" t="n">
        <f aca="false">IF(ISERROR(MATCH($R$91,'[1]liste reference'!$A$7:$A$906,0)),MATCH($R$91,'[1]liste reference'!$B$7:$B$906,0),(MATCH($R$91,'[1]liste reference'!$A$7:$A$906,0)))</f>
        <v>460</v>
      </c>
      <c r="T89" s="243"/>
    </row>
    <row r="90" customFormat="false" ht="12.75" hidden="true" customHeight="false" outlineLevel="0" collapsed="false">
      <c r="P90" s="8" t="s">
        <v>105</v>
      </c>
      <c r="Q90" s="8"/>
      <c r="R90" s="8" t="n">
        <f aca="false">MATCH(R85,$R$23:$R$80,0)</f>
        <v>21</v>
      </c>
      <c r="S90" s="8"/>
    </row>
    <row r="91" customFormat="false" ht="12.75" hidden="true" customHeight="false" outlineLevel="0" collapsed="false">
      <c r="P91" s="207" t="s">
        <v>106</v>
      </c>
      <c r="Q91" s="8"/>
      <c r="R91" s="207" t="str">
        <f aca="false">INDEX($A$23:$A$80,$R$90)</f>
        <v>RAN.FLU</v>
      </c>
      <c r="S91" s="8"/>
    </row>
    <row r="92" customFormat="false" ht="12.75" hidden="false" customHeight="false" outlineLevel="0" collapsed="false">
      <c r="R92" s="243"/>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2024-03-12T21:06:46Z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