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" sheetId="1" state="visible" r:id="rId3"/>
  </sheets>
  <externalReferences>
    <externalReference r:id="rId4"/>
  </externalReferences>
  <definedNames>
    <definedName function="false" hidden="false" localSheetId="0" name="Excel_BuiltIn_Print_Area" vbProcedure="false">Loire!$A$1:$O$82</definedName>
    <definedName function="false" hidden="false" localSheetId="0" name="Excel_BuiltIn__FilterDatabase" vbProcedure="false">Loire!$A$23:$J$84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<sst xmlns="http://schemas.openxmlformats.org/spreadsheetml/2006/main" count="100" uniqueCount="96">
  <si>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</si>
  <si>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</si>
  <si>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</si>
  <si>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</si>
  <si>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</si>
  <si>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Loire</t>
  </si>
  <si>
    <t xml:space="preserve">Luneau</t>
  </si>
  <si>
    <t xml:space="preserve">04015600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</si>
  <si>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</si>
  <si>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</si>
  <si>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</si>
  <si>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</si>
  <si>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</si>
  <si>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</si>
  <si>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</si>
  <si>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</si>
  <si>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</si>
  <si>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</si>
  <si>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</si>
  <si>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</si>
  <si>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</si>
  <si>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</si>
  <si>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</si>
  <si>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</si>
  <si>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</si>
  <si>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</si>
  <si>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</si>
  <si>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</si>
  <si>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</si>
  <si>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</si>
  <si>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</si>
  <si>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</si>
  <si>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</si>
  <si>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</si>
  <si>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</si>
  <si>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</si>
  <si>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</si>
  <si>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</si>
  <si>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</si>
  <si>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</si>
  <si>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</si>
  <si>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</si>
  <si>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</si>
  <si>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</si>
  <si>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</si>
  <si>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</si>
  <si>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</si>
  <si>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</si>
  <si>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</si>
  <si>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</si>
  <si>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</si>
  <si>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</si>
  <si>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</si>
  <si>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</si>
  <si>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</si>
  <si>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</si>
  <si>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</si>
  <si>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</si>
  <si>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</si>
  <si>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</si>
  <si>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</si>
  <si>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</si>
  <si>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</si>
  <si>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</si>
  <si>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</si>
  <si>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</si>
  <si>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</si>
  <si>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</si>
  <si>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</si>
  <si>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</si>
  <si>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</si>
  <si>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</si>
  <si>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</si>
  <si>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HYI.SPX</t>
  </si>
  <si>
    <t xml:space="preserve">OED.SPX</t>
  </si>
  <si>
    <t xml:space="preserve">OSC.SPX</t>
  </si>
  <si>
    <t xml:space="preserve">POT.SPX</t>
  </si>
  <si>
    <t xml:space="preserve">ELO.NUT</t>
  </si>
  <si>
    <t xml:space="preserve">RAN.FLU</t>
  </si>
  <si>
    <t xml:space="preserve">POL.AMP</t>
  </si>
  <si>
    <t xml:space="preserve">LUD.PEP</t>
  </si>
  <si>
    <t xml:space="preserve">PHA.ARU</t>
  </si>
  <si>
    <t xml:space="preserve">CAR.SPX</t>
  </si>
  <si>
    <t xml:space="preserve">CER.DEM</t>
  </si>
  <si>
    <t xml:space="preserve">MYR.SPI</t>
  </si>
  <si>
    <t xml:space="preserve">POL.HYD</t>
  </si>
  <si>
    <t xml:space="preserve">SPR.POL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</si>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</sst>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3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40407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7.66666666666667</v>
      </c>
      <c r="M5" s="51"/>
      <c r="N5" s="52" t="s">
        <v>15</v>
      </c>
      <c r="O5" s="53" t="n">
        <v>7.47222222222222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/>
      <c r="C6" s="56" t="s">
        <v>17</v>
      </c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/>
      <c r="C7" s="65" t="n">
        <v>100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8.08333333333333</v>
      </c>
      <c r="O8" s="82" t="n">
        <f aca="false">AVERAGE(J23:J82)</f>
        <v>1.75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1.97522534195852</v>
      </c>
      <c r="O9" s="82" t="n">
        <f aca="false">STDEV(J23:J82)</f>
        <v>0.452267016866645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5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/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11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/>
      <c r="C12" s="117" t="n">
        <v>7.01</v>
      </c>
      <c r="D12" s="109"/>
      <c r="E12" s="109"/>
      <c r="F12" s="110" t="n">
        <f aca="false">($B12*$B$7+$C12*$C$7)/100</f>
        <v>7.01</v>
      </c>
      <c r="G12" s="118"/>
      <c r="H12" s="66"/>
      <c r="I12" s="119" t="s">
        <v>36</v>
      </c>
      <c r="J12" s="119"/>
      <c r="K12" s="113" t="n">
        <f aca="false">COUNTIF($G$23:$G$82,"=ALG")</f>
        <v>4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/>
      <c r="C13" s="117" t="n">
        <v>0</v>
      </c>
      <c r="D13" s="109"/>
      <c r="E13" s="109"/>
      <c r="F13" s="110" t="n">
        <f aca="false">($B13*$B$7+$C13*$C$7)/100</f>
        <v>0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0</v>
      </c>
      <c r="L13" s="114"/>
      <c r="M13" s="124" t="s">
        <v>39</v>
      </c>
      <c r="N13" s="125" t="n">
        <f aca="false">COUNTIF(F23:F82,"&gt;0")</f>
        <v>15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/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12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/>
      <c r="C15" s="132" t="n">
        <v>7.61</v>
      </c>
      <c r="D15" s="109"/>
      <c r="E15" s="109"/>
      <c r="F15" s="110" t="n">
        <f aca="false">($B15*$B$7+$C15*$C$7)/100</f>
        <v>7.61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11</v>
      </c>
      <c r="L15" s="114"/>
      <c r="M15" s="133" t="s">
        <v>45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/>
      <c r="C16" s="108" t="n">
        <v>0.06</v>
      </c>
      <c r="D16" s="136"/>
      <c r="E16" s="136"/>
      <c r="F16" s="137"/>
      <c r="G16" s="137" t="n">
        <f aca="false">($B16*$B$7+$C16*$C$7)/100</f>
        <v>0.06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9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/>
      <c r="C17" s="117" t="n">
        <v>12.42</v>
      </c>
      <c r="D17" s="109"/>
      <c r="E17" s="109"/>
      <c r="F17" s="139"/>
      <c r="G17" s="110" t="n">
        <f aca="false">($B17*$B$7+$C17*$C$7)/100</f>
        <v>12.42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/>
      <c r="C18" s="142" t="n">
        <v>2.14</v>
      </c>
      <c r="D18" s="109"/>
      <c r="E18" s="143" t="s">
        <v>51</v>
      </c>
      <c r="F18" s="139"/>
      <c r="G18" s="110" t="n">
        <f aca="false">($B18*$B$7+$C18*$C$7)/100</f>
        <v>2.14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14.62</v>
      </c>
      <c r="G19" s="151" t="n">
        <f aca="false">SUM(G16:G18)</f>
        <v>14.62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0</v>
      </c>
      <c r="C20" s="160" t="n">
        <f aca="false">SUM(C23:C82)</f>
        <v>14.62</v>
      </c>
      <c r="D20" s="161"/>
      <c r="E20" s="162" t="s">
        <v>51</v>
      </c>
      <c r="F20" s="163" t="n">
        <f aca="false">($B20*$B$7+$C20*$C$7)/100</f>
        <v>14.62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0</v>
      </c>
      <c r="C21" s="172" t="n">
        <f aca="false">C20*C7/100</f>
        <v>14.62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14.62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/>
      <c r="C23" s="196" t="n">
        <v>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Hydrodictyon reticulatum</v>
      </c>
      <c r="E23" s="197" t="e">
        <f aca="false">IF(D23="",0,VLOOKUP(D23,D$22:D22,1,0))</f>
        <v>#N/A</v>
      </c>
      <c r="F23" s="198" t="n">
        <f aca="false">($B23*$B$7+$C23*$C$7)/100</f>
        <v>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Hydrodictyon reticulatum</v>
      </c>
      <c r="L23" s="204"/>
      <c r="M23" s="204"/>
      <c r="N23" s="204"/>
      <c r="O23" s="205"/>
      <c r="P23" s="206" t="n">
        <f aca="false">IF(ISTEXT(H23),"",(B23*$B$7/100)+(C23*$C$7/100))</f>
        <v>1</v>
      </c>
      <c r="Q23" s="207" t="n">
        <f aca="false">IF(OR(ISTEXT(H23),P23=0),"",IF(P23&lt;0.1,1,IF(P23&lt;1,2,IF(P23&lt;10,3,IF(P23&lt;50,4,IF(P23&gt;=50,5,""))))))</f>
        <v>3</v>
      </c>
      <c r="R23" s="207" t="n">
        <f aca="false">IF(ISERROR(Q23*I23),0,Q23*I23)</f>
        <v>18</v>
      </c>
      <c r="S23" s="207" t="n">
        <f aca="false">IF(ISERROR(Q23*I23*J23),0,Q23*I23*J23)</f>
        <v>36</v>
      </c>
      <c r="T23" s="207" t="n">
        <f aca="false">IF(ISERROR(Q23*J23),0,Q23*J23)</f>
        <v>6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HYI.SPX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33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15</v>
      </c>
      <c r="B24" s="213"/>
      <c r="C24" s="214" t="n">
        <v>5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Spirogyra sp.       </v>
      </c>
      <c r="E24" s="215" t="e">
        <f aca="false">IF(D24="",0,VLOOKUP(D24,D$22:D23,1,0))</f>
        <v>#N/A</v>
      </c>
      <c r="F24" s="216" t="n">
        <f aca="false">($B24*$B$7+$C24*$C$7)/100</f>
        <v>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Spirogyra sp.       </v>
      </c>
      <c r="L24" s="220"/>
      <c r="M24" s="220"/>
      <c r="N24" s="220"/>
      <c r="O24" s="205"/>
      <c r="P24" s="206" t="n">
        <f aca="false">IF(ISTEXT(H24),"",(B24*$B$7/100)+(C24*$C$7/100))</f>
        <v>5</v>
      </c>
      <c r="Q24" s="207" t="n">
        <f aca="false">IF(OR(ISTEXT(H24),P24=0),"",IF(P24&lt;0.1,1,IF(P24&lt;1,2,IF(P24&lt;10,3,IF(P24&lt;50,4,IF(P24&gt;=50,5,""))))))</f>
        <v>3</v>
      </c>
      <c r="R24" s="207" t="n">
        <f aca="false">IF(ISERROR(Q24*I24),0,Q24*I24)</f>
        <v>30</v>
      </c>
      <c r="S24" s="207" t="n">
        <f aca="false">IF(ISERROR(Q24*I24*J24),0,Q24*I24*J24)</f>
        <v>30</v>
      </c>
      <c r="T24" s="221" t="n">
        <f aca="false">IF(ISERROR(Q24*J24),0,Q24*J24)</f>
        <v>3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SPI.SPX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70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74</v>
      </c>
      <c r="B25" s="213"/>
      <c r="C25" s="214" t="n">
        <v>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5" t="e">
        <f aca="false">IF(D25="",0,VLOOKUP(D25,D$22:D24,1,0))</f>
        <v>#N/A</v>
      </c>
      <c r="F25" s="216" t="n">
        <f aca="false">($B25*$B$7+$C25*$C$7)/100</f>
        <v>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20"/>
      <c r="M25" s="220"/>
      <c r="N25" s="220"/>
      <c r="O25" s="205"/>
      <c r="P25" s="206" t="n">
        <f aca="false">IF(ISTEXT(H25),"",(B25*$B$7/100)+(C25*$C$7/100))</f>
        <v>1</v>
      </c>
      <c r="Q25" s="207" t="n">
        <f aca="false">IF(OR(ISTEXT(H25),P25=0),"",IF(P25&lt;0.1,1,IF(P25&lt;1,2,IF(P25&lt;10,3,IF(P25&lt;50,4,IF(P25&gt;=50,5,""))))))</f>
        <v>3</v>
      </c>
      <c r="R25" s="207" t="n">
        <f aca="false">IF(ISERROR(Q25*I25),0,Q25*I25)</f>
        <v>18</v>
      </c>
      <c r="S25" s="207" t="n">
        <f aca="false">IF(ISERROR(Q25*I25*J25),0,Q25*I25*J25)</f>
        <v>36</v>
      </c>
      <c r="T25" s="221" t="n">
        <f aca="false">IF(ISERROR(Q25*J25),0,Q25*J25)</f>
        <v>6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OED.SPX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75</v>
      </c>
      <c r="B26" s="213"/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11</v>
      </c>
      <c r="S26" s="207" t="n">
        <f aca="false">IF(ISERROR(Q26*I26*J26),0,Q26*I26*J26)</f>
        <v>11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OSC.SPX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/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Potamogeton sp.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8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2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Potamogeton sp.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0</v>
      </c>
      <c r="S27" s="207" t="n">
        <f aca="false">IF(ISERROR(Q27*I27*J27),0,Q27*I27*J27)</f>
        <v>0</v>
      </c>
      <c r="T27" s="221" t="n">
        <f aca="false">IF(ISERROR(Q27*J27),0,Q27*J27)</f>
        <v>0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POT.SPX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432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/>
      <c r="C28" s="214" t="n">
        <v>0.12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Elodea nuttallii</v>
      </c>
      <c r="E28" s="215" t="e">
        <f aca="false">IF(D28="",0,VLOOKUP(D28,D$22:D27,1,0))</f>
        <v>#N/A</v>
      </c>
      <c r="F28" s="216" t="n">
        <f aca="false">($B28*$B$7+$C28*$C$7)/100</f>
        <v>0.12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8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Elodea nuttallii</v>
      </c>
      <c r="L28" s="220"/>
      <c r="M28" s="220"/>
      <c r="N28" s="220"/>
      <c r="O28" s="205"/>
      <c r="P28" s="206" t="n">
        <f aca="false">IF(ISTEXT(H28),"",(B28*$B$7/100)+(C28*$C$7/100))</f>
        <v>0.12</v>
      </c>
      <c r="Q28" s="207" t="n">
        <f aca="false">IF(OR(ISTEXT(H28),P28=0),"",IF(P28&lt;0.1,1,IF(P28&lt;1,2,IF(P28&lt;10,3,IF(P28&lt;50,4,IF(P28&gt;=50,5,""))))))</f>
        <v>2</v>
      </c>
      <c r="R28" s="207" t="n">
        <f aca="false">IF(ISERROR(Q28*I28),0,Q28*I28)</f>
        <v>16</v>
      </c>
      <c r="S28" s="207" t="n">
        <f aca="false">IF(ISERROR(Q28*I28*J28),0,Q28*I28*J28)</f>
        <v>32</v>
      </c>
      <c r="T28" s="221" t="n">
        <f aca="false">IF(ISERROR(Q28*J28),0,Q28*J28)</f>
        <v>4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ELO.NUT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346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/>
      <c r="C29" s="214" t="n">
        <v>0.25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Ranunculus fluitans</v>
      </c>
      <c r="E29" s="215" t="e">
        <f aca="false">IF(D29="",0,VLOOKUP(D29,D$22:D28,1,0))</f>
        <v>#N/A</v>
      </c>
      <c r="F29" s="216" t="n">
        <f aca="false">($B29*$B$7+$C29*$C$7)/100</f>
        <v>0.25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Ranunculus fluitans</v>
      </c>
      <c r="L29" s="220"/>
      <c r="M29" s="220"/>
      <c r="N29" s="220"/>
      <c r="O29" s="205"/>
      <c r="P29" s="206" t="n">
        <f aca="false">IF(ISTEXT(H29),"",(B29*$B$7/100)+(C29*$C$7/100))</f>
        <v>0.25</v>
      </c>
      <c r="Q29" s="207" t="n">
        <f aca="false">IF(OR(ISTEXT(H29),P29=0),"",IF(P29&lt;0.1,1,IF(P29&lt;1,2,IF(P29&lt;10,3,IF(P29&lt;50,4,IF(P29&gt;=50,5,""))))))</f>
        <v>2</v>
      </c>
      <c r="R29" s="207" t="n">
        <f aca="false">IF(ISERROR(Q29*I29),0,Q29*I29)</f>
        <v>20</v>
      </c>
      <c r="S29" s="207" t="n">
        <f aca="false">IF(ISERROR(Q29*I29*J29),0,Q29*I29*J29)</f>
        <v>40</v>
      </c>
      <c r="T29" s="221" t="n">
        <f aca="false">IF(ISERROR(Q29*J29),0,Q29*J29)</f>
        <v>4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RAN.FLU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460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79</v>
      </c>
      <c r="B30" s="213"/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Polygonum amphibium (Persicaria amphibia)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9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Polygonum amphibium (Persicaria amphibia)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9</v>
      </c>
      <c r="S30" s="207" t="n">
        <f aca="false">IF(ISERROR(Q30*I30*J30),0,Q30*I30*J30)</f>
        <v>18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POL.AMP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642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80</v>
      </c>
      <c r="B31" s="213"/>
      <c r="C31" s="214" t="n">
        <v>2.1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Ludwigia peploides </v>
      </c>
      <c r="E31" s="215" t="e">
        <f aca="false">IF(D31="",0,VLOOKUP(D31,D$21:D30,1,0))</f>
        <v>#N/A</v>
      </c>
      <c r="F31" s="216" t="n">
        <f aca="false">($B31*$B$7+$C31*$C$7)/100</f>
        <v>2.1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Ludwigia peploides </v>
      </c>
      <c r="L31" s="220"/>
      <c r="M31" s="220"/>
      <c r="N31" s="220"/>
      <c r="O31" s="205"/>
      <c r="P31" s="206" t="n">
        <f aca="false">IF(ISTEXT(H31),"",(B31*$B$7/100)+(C31*$C$7/100))</f>
        <v>2.1</v>
      </c>
      <c r="Q31" s="207" t="n">
        <f aca="false">IF(OR(ISTEXT(H31),P31=0),"",IF(P31&lt;0.1,1,IF(P31&lt;1,2,IF(P31&lt;10,3,IF(P31&lt;50,4,IF(P31&gt;=50,5,""))))))</f>
        <v>3</v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LUD.PEP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600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81</v>
      </c>
      <c r="B32" s="213"/>
      <c r="C32" s="214" t="n">
        <v>0.01</v>
      </c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Phalaris arundinacea</v>
      </c>
      <c r="E32" s="215" t="e">
        <f aca="false">IF(D32="",0,VLOOKUP(D32,D$22:D31,1,0))</f>
        <v>#N/A</v>
      </c>
      <c r="F32" s="216" t="n">
        <f aca="false">($B32*$B$7+$C32*$C$7)/100</f>
        <v>0.01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Phalaris arundinacea</v>
      </c>
      <c r="L32" s="220"/>
      <c r="M32" s="220"/>
      <c r="N32" s="220"/>
      <c r="O32" s="205"/>
      <c r="P32" s="206" t="n">
        <f aca="false">IF(ISTEXT(H32),"",(B32*$B$7/100)+(C32*$C$7/100))</f>
        <v>0.01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10</v>
      </c>
      <c r="S32" s="207" t="n">
        <f aca="false">IF(ISERROR(Q32*I32*J32),0,Q32*I32*J32)</f>
        <v>10</v>
      </c>
      <c r="T32" s="221" t="n">
        <f aca="false">IF(ISERROR(Q32*J32),0,Q32*J32)</f>
        <v>1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PHA.ARU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640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82</v>
      </c>
      <c r="B33" s="213"/>
      <c r="C33" s="214" t="n">
        <v>0.01</v>
      </c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Carex sp.</v>
      </c>
      <c r="E33" s="215" t="e">
        <f aca="false">IF(D33="",0,VLOOKUP(D33,D$22:D32,1,0))</f>
        <v>#N/A</v>
      </c>
      <c r="F33" s="216" t="n">
        <f aca="false">($B33*$B$7+$C33*$C$7)/100</f>
        <v>0.01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Carex sp.</v>
      </c>
      <c r="L33" s="223"/>
      <c r="M33" s="223"/>
      <c r="N33" s="223"/>
      <c r="O33" s="224"/>
      <c r="P33" s="206" t="n">
        <f aca="false">IF(ISTEXT(H33),"",(B33*$B$7/100)+(C33*$C$7/100))</f>
        <v>0.01</v>
      </c>
      <c r="Q33" s="207" t="n">
        <f aca="false">IF(OR(ISTEXT(H33),P33=0),"",IF(P33&lt;0.1,1,IF(P33&lt;1,2,IF(P33&lt;10,3,IF(P33&lt;50,4,IF(P33&gt;=50,5,""))))))</f>
        <v>1</v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CAR.SPX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551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83</v>
      </c>
      <c r="B34" s="213"/>
      <c r="C34" s="214" t="n">
        <v>0.03</v>
      </c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Ceratophyllum demersum    </v>
      </c>
      <c r="E34" s="215" t="e">
        <f aca="false">IF(D34="",0,VLOOKUP(D34,D$22:D33,1,0))</f>
        <v>#N/A</v>
      </c>
      <c r="F34" s="225" t="n">
        <f aca="false">($B34*$B$7+$C34*$C$7)/100</f>
        <v>0.03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18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5</v>
      </c>
      <c r="J34" s="202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Ceratophyllum demersum    </v>
      </c>
      <c r="L34" s="223"/>
      <c r="M34" s="223"/>
      <c r="N34" s="223"/>
      <c r="O34" s="224"/>
      <c r="P34" s="206" t="n">
        <f aca="false">IF(ISTEXT(H34),"",(B34*$B$7/100)+(C34*$C$7/100))</f>
        <v>0.03</v>
      </c>
      <c r="Q34" s="207" t="n">
        <f aca="false">IF(OR(ISTEXT(H34),P34=0),"",IF(P34&lt;0.1,1,IF(P34&lt;1,2,IF(P34&lt;10,3,IF(P34&lt;50,4,IF(P34&gt;=50,5,""))))))</f>
        <v>1</v>
      </c>
      <c r="R34" s="207" t="n">
        <f aca="false">IF(ISERROR(Q34*I34),0,Q34*I34)</f>
        <v>5</v>
      </c>
      <c r="S34" s="207" t="n">
        <f aca="false">IF(ISERROR(Q34*I34*J34),0,Q34*I34*J34)</f>
        <v>10</v>
      </c>
      <c r="T34" s="221" t="n">
        <f aca="false">IF(ISERROR(Q34*J34),0,Q34*J34)</f>
        <v>2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CER.DEM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333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 t="s">
        <v>84</v>
      </c>
      <c r="B35" s="213"/>
      <c r="C35" s="214" t="n">
        <v>5</v>
      </c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Myriophyllum spicatum</v>
      </c>
      <c r="E35" s="215" t="e">
        <f aca="false">IF(D35="",0,VLOOKUP(D35,D$22:D34,1,0))</f>
        <v>#N/A</v>
      </c>
      <c r="F35" s="225" t="n">
        <f aca="false">($B35*$B$7+$C35*$C$7)/100</f>
        <v>5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200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18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8</v>
      </c>
      <c r="J35" s="202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Myriophyllum spicatum</v>
      </c>
      <c r="L35" s="220"/>
      <c r="M35" s="220"/>
      <c r="N35" s="220"/>
      <c r="O35" s="205"/>
      <c r="P35" s="206" t="n">
        <f aca="false">IF(ISTEXT(H35),"",(B35*$B$7/100)+(C35*$C$7/100))</f>
        <v>5</v>
      </c>
      <c r="Q35" s="207" t="n">
        <f aca="false">IF(OR(ISTEXT(H35),P35=0),"",IF(P35&lt;0.1,1,IF(P35&lt;1,2,IF(P35&lt;10,3,IF(P35&lt;50,4,IF(P35&gt;=50,5,""))))))</f>
        <v>3</v>
      </c>
      <c r="R35" s="207" t="n">
        <f aca="false">IF(ISERROR(Q35*I35),0,Q35*I35)</f>
        <v>24</v>
      </c>
      <c r="S35" s="207" t="n">
        <f aca="false">IF(ISERROR(Q35*I35*J35),0,Q35*I35*J35)</f>
        <v>48</v>
      </c>
      <c r="T35" s="221" t="n">
        <f aca="false">IF(ISERROR(Q35*J35),0,Q35*J35)</f>
        <v>6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>MYR.SPI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377</v>
      </c>
      <c r="Z35" s="210"/>
      <c r="AA35" s="211"/>
      <c r="BB35" s="8" t="n">
        <f aca="false">IF(A35="","",1)</f>
        <v>1</v>
      </c>
    </row>
    <row r="36" customFormat="false" ht="12.75" hidden="false" customHeight="false" outlineLevel="0" collapsed="false">
      <c r="A36" s="212" t="s">
        <v>85</v>
      </c>
      <c r="B36" s="213"/>
      <c r="C36" s="214" t="n">
        <v>0.01</v>
      </c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Polygonum hydropiper (Persicaria hydropiper)</v>
      </c>
      <c r="E36" s="215" t="e">
        <f aca="false">IF(D36="",0,VLOOKUP(D36,D$22:D35,1,0))</f>
        <v>#N/A</v>
      </c>
      <c r="F36" s="225" t="n">
        <f aca="false">($B36*$B$7+$C36*$C$7)/100</f>
        <v>0.01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0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8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8</v>
      </c>
      <c r="J36" s="202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2</v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Polygonum hydropiper (Persicaria hydropiper)</v>
      </c>
      <c r="L36" s="220"/>
      <c r="M36" s="220"/>
      <c r="N36" s="220"/>
      <c r="O36" s="205"/>
      <c r="P36" s="206" t="n">
        <f aca="false">IF(ISTEXT(H36),"",(B36*$B$7/100)+(C36*$C$7/100))</f>
        <v>0.01</v>
      </c>
      <c r="Q36" s="207" t="n">
        <f aca="false">IF(OR(ISTEXT(H36),P36=0),"",IF(P36&lt;0.1,1,IF(P36&lt;1,2,IF(P36&lt;10,3,IF(P36&lt;50,4,IF(P36&gt;=50,5,""))))))</f>
        <v>1</v>
      </c>
      <c r="R36" s="207" t="n">
        <f aca="false">IF(ISERROR(Q36*I36),0,Q36*I36)</f>
        <v>8</v>
      </c>
      <c r="S36" s="207" t="n">
        <f aca="false">IF(ISERROR(Q36*I36*J36),0,Q36*I36*J36)</f>
        <v>16</v>
      </c>
      <c r="T36" s="221" t="n">
        <f aca="false">IF(ISERROR(Q36*J36),0,Q36*J36)</f>
        <v>2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>POL.HYD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643</v>
      </c>
      <c r="Z36" s="210"/>
      <c r="AA36" s="211"/>
      <c r="BB36" s="8" t="n">
        <f aca="false">IF(A36="","",1)</f>
        <v>1</v>
      </c>
    </row>
    <row r="37" customFormat="false" ht="12.75" hidden="false" customHeight="false" outlineLevel="0" collapsed="false">
      <c r="A37" s="212" t="s">
        <v>86</v>
      </c>
      <c r="B37" s="213"/>
      <c r="C37" s="214" t="n">
        <v>0.06</v>
      </c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Spirodela polyrhiza</v>
      </c>
      <c r="E37" s="215" t="e">
        <f aca="false">IF(D37="",0,VLOOKUP(D37,D$22:D36,1,0))</f>
        <v>#N/A</v>
      </c>
      <c r="F37" s="225" t="n">
        <f aca="false">($B37*$B$7+$C37*$C$7)/100</f>
        <v>0.06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PHy</v>
      </c>
      <c r="H37" s="200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7</v>
      </c>
      <c r="I37" s="218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6</v>
      </c>
      <c r="J37" s="202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2</v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Spirodela polyrhiza</v>
      </c>
      <c r="L37" s="220"/>
      <c r="M37" s="220"/>
      <c r="N37" s="220"/>
      <c r="O37" s="205"/>
      <c r="P37" s="206" t="n">
        <f aca="false">IF(ISTEXT(H37),"",(B37*$B$7/100)+(C37*$C$7/100))</f>
        <v>0.06</v>
      </c>
      <c r="Q37" s="207" t="n">
        <f aca="false">IF(OR(ISTEXT(H37),P37=0),"",IF(P37&lt;0.1,1,IF(P37&lt;1,2,IF(P37&lt;10,3,IF(P37&lt;50,4,IF(P37&gt;=50,5,""))))))</f>
        <v>1</v>
      </c>
      <c r="R37" s="207" t="n">
        <f aca="false">IF(ISERROR(Q37*I37),0,Q37*I37)</f>
        <v>6</v>
      </c>
      <c r="S37" s="207" t="n">
        <f aca="false">IF(ISERROR(Q37*I37*J37),0,Q37*I37*J37)</f>
        <v>12</v>
      </c>
      <c r="T37" s="221" t="n">
        <f aca="false">IF(ISERROR(Q37*J37),0,Q37*J37)</f>
        <v>2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>SPR.POL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491</v>
      </c>
      <c r="Z37" s="210"/>
      <c r="AA37" s="211"/>
      <c r="BB37" s="8" t="n">
        <f aca="false">IF(A37="","",1)</f>
        <v>1</v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87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Loire</v>
      </c>
      <c r="B84" s="246" t="str">
        <f aca="false">C3</f>
        <v>Luneau</v>
      </c>
      <c r="C84" s="247" t="n">
        <f aca="false">A4</f>
        <v>40407</v>
      </c>
      <c r="D84" s="248" t="n">
        <f aca="false">IF(ISERROR(SUM($S$23:$S$82)/SUM($T$23:$T$82)),"",SUM($S$23:$S$82)/SUM($T$23:$T$82))</f>
        <v>7.66666666666667</v>
      </c>
      <c r="E84" s="249" t="n">
        <f aca="false">N13</f>
        <v>15</v>
      </c>
      <c r="F84" s="246" t="n">
        <f aca="false">N14</f>
        <v>12</v>
      </c>
      <c r="G84" s="246" t="n">
        <f aca="false">N15</f>
        <v>3</v>
      </c>
      <c r="H84" s="246" t="n">
        <f aca="false">N16</f>
        <v>9</v>
      </c>
      <c r="I84" s="246" t="n">
        <f aca="false">N17</f>
        <v>0</v>
      </c>
      <c r="J84" s="250" t="n">
        <f aca="false">N8</f>
        <v>8.08333333333333</v>
      </c>
      <c r="K84" s="248" t="n">
        <f aca="false">N9</f>
        <v>1.97522534195852</v>
      </c>
      <c r="L84" s="249" t="n">
        <f aca="false">N10</f>
        <v>5</v>
      </c>
      <c r="M84" s="249" t="n">
        <f aca="false">N11</f>
        <v>11</v>
      </c>
      <c r="N84" s="248" t="n">
        <f aca="false">O8</f>
        <v>1.75</v>
      </c>
      <c r="O84" s="248" t="n">
        <f aca="false">O9</f>
        <v>0.452267016866645</v>
      </c>
      <c r="P84" s="249" t="n">
        <f aca="false">O10</f>
        <v>1</v>
      </c>
      <c r="Q84" s="249" t="n">
        <f aca="false">O11</f>
        <v>2</v>
      </c>
      <c r="R84" s="251" t="n">
        <f aca="false">F21</f>
        <v>14.62</v>
      </c>
      <c r="S84" s="249" t="n">
        <f aca="false">K11</f>
        <v>0</v>
      </c>
      <c r="T84" s="249" t="n">
        <f aca="false">K12</f>
        <v>4</v>
      </c>
      <c r="U84" s="249" t="n">
        <f aca="false">K13</f>
        <v>0</v>
      </c>
      <c r="V84" s="252" t="n">
        <f aca="false">K14</f>
        <v>0</v>
      </c>
      <c r="W84" s="253" t="n">
        <f aca="false">K15</f>
        <v>11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88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8" t="n">
        <f aca="false">VLOOKUP(MAX($R$23:$R$82),($R$23:$T$82),1,0)</f>
        <v>30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8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8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92</v>
      </c>
      <c r="Q90" s="8"/>
      <c r="R90" s="255" t="n">
        <f aca="false">IF(ISERROR(SUM($S$23:$S$82)/SUM($T$23:$T$82)),"",(SUM($S$23:$S$82)-R88)/(SUM($T$23:$T$82)-R89))</f>
        <v>7.47222222222222</v>
      </c>
      <c r="S90" s="8"/>
    </row>
    <row r="91" customFormat="false" ht="12.75" hidden="true" customHeight="false" outlineLevel="0" collapsed="false">
      <c r="P91" s="207" t="s">
        <v>93</v>
      </c>
      <c r="Q91" s="207"/>
      <c r="R91" s="207" t="str">
        <f aca="false">INDEX('[1]liste reference'!$A$7:$A$906,$S$91)</f>
        <v>SPI.SPX</v>
      </c>
      <c r="S91" s="8" t="n">
        <f aca="false">IF(ISERROR(MATCH($R$93,'[1]liste reference'!$A$7:$A$906,0)),MATCH($R$93,'[1]liste reference'!$B$7:$B$906,0),(MATCH($R$93,'[1]liste reference'!$A$7:$A$906,0)))</f>
        <v>70</v>
      </c>
      <c r="T91" s="244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7" t="s">
        <v>95</v>
      </c>
      <c r="Q93" s="8"/>
      <c r="R93" s="207" t="str">
        <f aca="false">INDEX($A$23:$A$82,$R$92)</f>
        <v>SPI.SPX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