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7730" sheetId="1" state="visible" r:id="rId3"/>
  </sheets>
  <definedNames>
    <definedName function="false" hidden="false" localSheetId="0" name="_xlnm.Print_Area" vbProcedure="false">'04027730'!$A$1:$Q$82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<sst xmlns="http://schemas.openxmlformats.org/spreadsheetml/2006/main" count="182" uniqueCount="117">
  <si>
    <t xml:space="preserve">Relevés floristiques aquatiques - IBMR</t>
  </si>
  <si>
    <t xml:space="preserve">modèle Irstea-GIS</t>
  </si>
  <si>
    <t xml:space="preserve">AQUABIO</t>
  </si>
  <si>
    <t xml:space="preserve">- -, Christelle GISSET, Rémy MARCEL</t>
  </si>
  <si>
    <t xml:space="preserve">l'Allier</t>
  </si>
  <si>
    <t xml:space="preserve">ALLIER À LANGEAC</t>
  </si>
  <si>
    <t xml:space="preserve">04027730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</si>
  <si>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</si>
  <si>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</si>
  <si>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</si>
  <si>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</si>
  <si>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</si>
  <si>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</si>
  <si>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</si>
  <si>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</si>
  <si>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</si>
  <si>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OEDSPX</t>
  </si>
  <si>
    <t xml:space="preserve">Faciès dominant</t>
  </si>
  <si>
    <t xml:space="preserve">radier</t>
  </si>
  <si>
    <t xml:space="preserve">ch. lotique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</si>
  <si>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</si>
  <si>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</si>
  <si>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</si>
  <si>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</si>
  <si>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</si>
  <si>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</si>
  <si>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</si>
  <si>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</si>
  <si>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</si>
  <si>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</si>
  <si>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</si>
  <si>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</si>
  <si>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</si>
  <si>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</si>
  <si>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</si>
  <si>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</si>
  <si>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</si>
  <si>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</si>
  <si>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</si>
  <si>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</si>
  <si>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</si>
  <si>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</si>
  <si>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</si>
  <si>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</si>
  <si>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</si>
  <si>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</si>
  <si>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</si>
  <si>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</si>
  <si>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</si>
  <si>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</si>
  <si>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</si>
  <si>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</si>
  <si>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</si>
  <si>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</si>
  <si>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</si>
  <si>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</si>
  <si>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</si>
  <si>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</si>
  <si>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</si>
  <si>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</si>
  <si>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</si>
  <si>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</si>
  <si>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</si>
  <si>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</si>
  <si>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</si>
  <si>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</si>
  <si>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</si>
  <si>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</si>
  <si>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</si>
  <si>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</si>
  <si>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</si>
  <si>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</si>
  <si>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</si>
  <si>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</si>
  <si>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</si>
  <si>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</si>
  <si>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</si>
  <si>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</si>
  <si>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RHISPX</t>
  </si>
  <si>
    <t xml:space="preserve"> -</t>
  </si>
  <si>
    <t xml:space="preserve">CLASPX</t>
  </si>
  <si>
    <t xml:space="preserve">PERHYD</t>
  </si>
  <si>
    <t xml:space="preserve">RORAMP</t>
  </si>
  <si>
    <t xml:space="preserve">LYNSPX</t>
  </si>
  <si>
    <t xml:space="preserve">MELSPX</t>
  </si>
  <si>
    <t xml:space="preserve">PHAARU</t>
  </si>
  <si>
    <t xml:space="preserve">SPISPX</t>
  </si>
  <si>
    <t xml:space="preserve">ULOSPX</t>
  </si>
  <si>
    <t xml:space="preserve">RANTRI</t>
  </si>
  <si>
    <t xml:space="preserve">RHYRIP</t>
  </si>
  <si>
    <t xml:space="preserve">TETSPX</t>
  </si>
  <si>
    <t xml:space="preserve">PHOSPX</t>
  </si>
  <si>
    <t xml:space="preserve">STISPX</t>
  </si>
  <si>
    <t xml:space="preserve">FONSQU</t>
  </si>
  <si>
    <t xml:space="preserve">GOMSPX</t>
  </si>
  <si>
    <t xml:space="preserve">cf.</t>
  </si>
  <si>
    <t xml:space="preserve">LEEORY</t>
  </si>
  <si>
    <t xml:space="preserve">LYSVUL</t>
  </si>
  <si>
    <t xml:space="preserve">LYTSAL</t>
  </si>
  <si>
    <t xml:space="preserve">PAASPX</t>
  </si>
  <si>
    <t xml:space="preserve">PLESPX</t>
  </si>
  <si>
    <t xml:space="preserve">POAPAL</t>
  </si>
  <si>
    <t xml:space="preserve">RANREP</t>
  </si>
  <si>
    <t xml:space="preserve">RORSYL</t>
  </si>
  <si>
    <t xml:space="preserve">SOADUL</t>
  </si>
  <si>
    <t xml:space="preserve">STAPAL</t>
  </si>
  <si>
    <t xml:space="preserve">NEWCOD</t>
  </si>
  <si>
    <t xml:space="preserve">Cyperaceae</t>
  </si>
  <si>
    <t xml:space="preserve">Poaceae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</si>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</sst>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2</v>
      </c>
      <c r="B2" s="11"/>
      <c r="C2" s="12" t="s">
        <v>3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4</v>
      </c>
      <c r="B3" s="11"/>
      <c r="C3" s="10" t="s">
        <v>5</v>
      </c>
      <c r="D3" s="21"/>
      <c r="E3" s="21"/>
      <c r="F3" s="22"/>
      <c r="G3" s="22"/>
      <c r="H3" s="21"/>
      <c r="I3" s="6"/>
      <c r="J3" s="13"/>
      <c r="K3" s="23"/>
      <c r="L3" s="24" t="s">
        <v>6</v>
      </c>
      <c r="M3" s="25"/>
      <c r="N3" s="26" t="s">
        <v>7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8</v>
      </c>
      <c r="B4" s="30" t="n">
        <v>42184</v>
      </c>
      <c r="C4" s="31"/>
      <c r="D4" s="21"/>
      <c r="E4" s="21"/>
      <c r="F4" s="31"/>
      <c r="G4" s="32"/>
      <c r="H4" s="21"/>
      <c r="I4" s="6"/>
      <c r="J4" s="33" t="s">
        <v>9</v>
      </c>
      <c r="K4" s="34"/>
      <c r="L4" s="34"/>
      <c r="M4" s="35"/>
      <c r="N4" s="35"/>
      <c r="O4" s="36" t="s">
        <v>10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11</v>
      </c>
      <c r="B5" s="39" t="s">
        <v>12</v>
      </c>
      <c r="C5" s="40" t="s">
        <v>13</v>
      </c>
      <c r="D5" s="41"/>
      <c r="E5" s="41"/>
      <c r="F5" s="42" t="s">
        <v>14</v>
      </c>
      <c r="G5" s="43"/>
      <c r="H5" s="41"/>
      <c r="I5" s="6"/>
      <c r="J5" s="44"/>
      <c r="K5" s="45"/>
      <c r="L5" s="46" t="s">
        <v>15</v>
      </c>
      <c r="M5" s="47" t="n">
        <v>10.21875</v>
      </c>
      <c r="N5" s="48"/>
      <c r="O5" s="49" t="s">
        <v>16</v>
      </c>
      <c r="P5" s="50" t="n">
        <v>10.8214285714286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17</v>
      </c>
      <c r="B6" s="52" t="s">
        <v>18</v>
      </c>
      <c r="C6" s="53" t="s">
        <v>19</v>
      </c>
      <c r="D6" s="54"/>
      <c r="E6" s="54"/>
      <c r="F6" s="55"/>
      <c r="G6" s="43"/>
      <c r="H6" s="41"/>
      <c r="I6" s="6"/>
      <c r="J6" s="56"/>
      <c r="K6" s="57"/>
      <c r="L6" s="58" t="s">
        <v>20</v>
      </c>
      <c r="M6" s="59" t="s">
        <v>21</v>
      </c>
      <c r="N6" s="60"/>
      <c r="O6" s="61" t="n">
        <v>3</v>
      </c>
      <c r="P6" s="62" t="s">
        <v>21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22</v>
      </c>
      <c r="B7" s="65" t="n">
        <v>19</v>
      </c>
      <c r="C7" s="66" t="n">
        <v>81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23</v>
      </c>
      <c r="P7" s="75" t="s">
        <v>24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25</v>
      </c>
      <c r="B8" s="40"/>
      <c r="C8" s="40"/>
      <c r="D8" s="54"/>
      <c r="E8" s="54"/>
      <c r="F8" s="77" t="s">
        <v>26</v>
      </c>
      <c r="G8" s="78"/>
      <c r="H8" s="54"/>
      <c r="I8" s="6"/>
      <c r="J8" s="69"/>
      <c r="K8" s="70"/>
      <c r="L8" s="71"/>
      <c r="M8" s="72"/>
      <c r="N8" s="79" t="s">
        <v>27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28</v>
      </c>
      <c r="B9" s="65" t="n">
        <v>8.5</v>
      </c>
      <c r="C9" s="66" t="n">
        <v>1.60000002384186</v>
      </c>
      <c r="D9" s="82"/>
      <c r="E9" s="82"/>
      <c r="F9" s="83" t="n">
        <f aca="false">($B9*$B$7+$C9*$C$7)/100</f>
        <v>2.9110000193119</v>
      </c>
      <c r="G9" s="84"/>
      <c r="H9" s="41"/>
      <c r="I9" s="6"/>
      <c r="J9" s="85"/>
      <c r="K9" s="86"/>
      <c r="L9" s="71"/>
      <c r="M9" s="87"/>
      <c r="N9" s="79" t="s">
        <v>29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30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31</v>
      </c>
      <c r="L10" s="92"/>
      <c r="M10" s="93"/>
      <c r="N10" s="79" t="s">
        <v>32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33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34</v>
      </c>
      <c r="K11" s="101"/>
      <c r="L11" s="102" t="n">
        <f aca="false">COUNTIF($G$23:$G$82,"=HET")</f>
        <v>0</v>
      </c>
      <c r="M11" s="103"/>
      <c r="N11" s="79" t="s">
        <v>35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36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37</v>
      </c>
      <c r="K12" s="101"/>
      <c r="L12" s="102" t="n">
        <f aca="false">COUNTIF($G$23:$G$82,"=ALG")</f>
        <v>0</v>
      </c>
      <c r="M12" s="103"/>
      <c r="N12" s="107"/>
      <c r="O12" s="108" t="s">
        <v>31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38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39</v>
      </c>
      <c r="K13" s="101"/>
      <c r="L13" s="102" t="n">
        <f aca="false">COUNTIF($G$23:$G$82,"=BRm")+COUNTIF($G$23:$G$82,"=BRh")</f>
        <v>0</v>
      </c>
      <c r="M13" s="103"/>
      <c r="N13" s="111" t="s">
        <v>40</v>
      </c>
      <c r="O13" s="112" t="n">
        <f aca="false">COUNTIF(F23:F82,"&gt;0")</f>
        <v>29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41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42</v>
      </c>
      <c r="K14" s="101"/>
      <c r="L14" s="102" t="n">
        <f aca="false">COUNTIF($G$23:$G$82,"=PTE")+COUNTIF($G$23:$G$82,"=LIC")</f>
        <v>0</v>
      </c>
      <c r="M14" s="103"/>
      <c r="N14" s="114" t="s">
        <v>43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44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45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46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47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48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49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50</v>
      </c>
      <c r="M17" s="129" t="n">
        <f aca="false">IF(ISERROR((O13-(COUNTIF(J23:J82,"nc")))/O13),"-",(O13-(COUNTIF(J23:J82,"nc")))/O13)</f>
        <v>1</v>
      </c>
      <c r="N17" s="111" t="s">
        <v>51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52</v>
      </c>
      <c r="B18" s="132"/>
      <c r="C18" s="133"/>
      <c r="D18" s="82"/>
      <c r="E18" s="134" t="s">
        <v>53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54</v>
      </c>
      <c r="B20" s="154" t="n">
        <f aca="false">SUM(B23:B62)</f>
        <v>8.51633694861084</v>
      </c>
      <c r="C20" s="155" t="n">
        <f aca="false">SUM(C23:C62)</f>
        <v>1.82799928914756</v>
      </c>
      <c r="D20" s="156"/>
      <c r="E20" s="157" t="s">
        <v>53</v>
      </c>
      <c r="F20" s="158" t="n">
        <f aca="false">($B20*$B$7+$C20*$C$7)/100</f>
        <v>3.09878344444558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55</v>
      </c>
      <c r="B21" s="166" t="n">
        <f aca="false">B20*B7/100</f>
        <v>1.61810402023606</v>
      </c>
      <c r="C21" s="166" t="n">
        <f aca="false">C20*C7/100</f>
        <v>1.48067942420952</v>
      </c>
      <c r="D21" s="167" t="s">
        <v>56</v>
      </c>
      <c r="E21" s="168"/>
      <c r="F21" s="169" t="n">
        <f aca="false">B21+C21</f>
        <v>3.09878344444558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57</v>
      </c>
    </row>
    <row r="22" customFormat="false" ht="12.75" hidden="false" customHeight="false" outlineLevel="0" collapsed="false">
      <c r="A22" s="178" t="s">
        <v>58</v>
      </c>
      <c r="B22" s="179" t="s">
        <v>59</v>
      </c>
      <c r="C22" s="179" t="s">
        <v>59</v>
      </c>
      <c r="D22" s="180"/>
      <c r="E22" s="181"/>
      <c r="F22" s="182" t="s">
        <v>60</v>
      </c>
      <c r="G22" s="183" t="s">
        <v>61</v>
      </c>
      <c r="H22" s="82" t="s">
        <v>62</v>
      </c>
      <c r="I22" s="6" t="s">
        <v>63</v>
      </c>
      <c r="J22" s="184" t="s">
        <v>64</v>
      </c>
      <c r="K22" s="184" t="s">
        <v>65</v>
      </c>
      <c r="L22" s="185" t="s">
        <v>66</v>
      </c>
      <c r="M22" s="185"/>
      <c r="N22" s="185"/>
      <c r="O22" s="185"/>
      <c r="P22" s="177" t="s">
        <v>67</v>
      </c>
      <c r="Q22" s="186" t="s">
        <v>68</v>
      </c>
      <c r="R22" s="187" t="s">
        <v>69</v>
      </c>
      <c r="S22" s="188" t="s">
        <v>70</v>
      </c>
      <c r="T22" s="189" t="s">
        <v>71</v>
      </c>
      <c r="U22" s="189" t="s">
        <v>72</v>
      </c>
      <c r="V22" s="190" t="s">
        <v>73</v>
      </c>
      <c r="W22" s="191" t="s">
        <v>74</v>
      </c>
      <c r="X22" s="191" t="s">
        <v>75</v>
      </c>
      <c r="Y22" s="192" t="s">
        <v>76</v>
      </c>
      <c r="Z22" s="192" t="s">
        <v>77</v>
      </c>
    </row>
    <row r="23" customFormat="false" ht="12.75" hidden="false" customHeight="false" outlineLevel="0" collapsed="false">
      <c r="A23" s="193" t="s">
        <v>78</v>
      </c>
      <c r="B23" s="194" t="n">
        <v>0.00999999977648258</v>
      </c>
      <c r="C23" s="195" t="n">
        <v>0.00999999977648258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0.00999999977648258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79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RHISPX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80</v>
      </c>
      <c r="B24" s="211" t="n">
        <v>0.00999999977648258</v>
      </c>
      <c r="C24" s="212" t="n">
        <v>0.00999999977648258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0.00999999977648258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79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CLASPX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16</v>
      </c>
      <c r="B25" s="211" t="n">
        <v>1.09557998180389</v>
      </c>
      <c r="C25" s="212" t="n">
        <v>0.359061002731323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0.498999608755112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79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OEDSPX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81</v>
      </c>
      <c r="B26" s="211" t="n">
        <v>0.00999999977648258</v>
      </c>
      <c r="C26" s="212" t="n">
        <v>0.00999999977648258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0.00999999977648258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79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PERHYD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82</v>
      </c>
      <c r="B27" s="211" t="n">
        <v>0.00999999977648258</v>
      </c>
      <c r="C27" s="212" t="n">
        <v>0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0.00189999995753169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79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RORAMP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83</v>
      </c>
      <c r="B28" s="211" t="n">
        <v>0.00999999977648258</v>
      </c>
      <c r="C28" s="212" t="n">
        <v>0.00999999977648258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0.00999999977648258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79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LYNSPX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84</v>
      </c>
      <c r="B29" s="211" t="n">
        <v>0.0149999996647239</v>
      </c>
      <c r="C29" s="212" t="n">
        <v>0.0149999996647239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0.0149999996647239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79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MELSPX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85</v>
      </c>
      <c r="B30" s="211" t="n">
        <v>0.200000002980232</v>
      </c>
      <c r="C30" s="212" t="n">
        <v>0.00999999977648258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0.046100000385195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79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PHAARU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86</v>
      </c>
      <c r="B31" s="211" t="n">
        <v>0.00999999977648258</v>
      </c>
      <c r="C31" s="212" t="n">
        <v>0.0833332985639572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0.069399971794337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79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SPISPX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87</v>
      </c>
      <c r="B32" s="211" t="n">
        <v>1.46703994274139</v>
      </c>
      <c r="C32" s="212" t="n">
        <v>0.49863600730896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0.682632755041122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79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ULOSPX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88</v>
      </c>
      <c r="B33" s="211" t="n">
        <v>4</v>
      </c>
      <c r="C33" s="212" t="n">
        <v>0.100000001490116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0.841000001206994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79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RANTRI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 t="s">
        <v>89</v>
      </c>
      <c r="B34" s="211" t="n">
        <v>0.00999999977648258</v>
      </c>
      <c r="C34" s="212" t="n">
        <v>0.00999999977648258</v>
      </c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n">
        <f aca="false">IF(AND(OR(A34="",A34="!!!!!!"),B34="",C34=""),"",IF(OR(AND(B34="",C34=""),ISERROR(C34+B34)),"!!!",($B34*$B$7+$C34*$C$7)/100))</f>
        <v>0.00999999977648258</v>
      </c>
      <c r="G34" s="216" t="str">
        <f aca="false">IF(A34="","",IF(ISERROR(VLOOKUP($A34,,9,0)),IF(ISERROR(VLOOKUP($A34,,8,0)),"    -",VLOOKUP($A34,,8,0)),VLOOKUP($A34,,9,0)))</f>
        <v>    -</v>
      </c>
      <c r="H34" s="217" t="str">
        <f aca="false">IF(A34="","x",IF(ISERROR(VLOOKUP($A34,,10,0)),IF(ISERROR(VLOOKUP($A34,,9,0)),"x",VLOOKUP($A34,,9,0)),VLOOKUP($A34,,10,0)))</f>
        <v>x</v>
      </c>
      <c r="I34" s="6" t="n">
        <f aca="false">IF(A34="","",1)</f>
        <v>1</v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>non répertorié ou synonyme. Vérifiez !</v>
      </c>
      <c r="M34" s="219"/>
      <c r="N34" s="219"/>
      <c r="O34" s="219"/>
      <c r="P34" s="220" t="s">
        <v>79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>RHYRIP</v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 t="s">
        <v>90</v>
      </c>
      <c r="B35" s="211" t="n">
        <v>0.00999999977648258</v>
      </c>
      <c r="C35" s="212" t="n">
        <v>0.00999999977648258</v>
      </c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n">
        <f aca="false">IF(AND(OR(A35="",A35="!!!!!!"),B35="",C35=""),"",IF(OR(AND(B35="",C35=""),ISERROR(C35+B35)),"!!!",($B35*$B$7+$C35*$C$7)/100))</f>
        <v>0.00999999977648258</v>
      </c>
      <c r="G35" s="216" t="str">
        <f aca="false">IF(A35="","",IF(ISERROR(VLOOKUP($A35,,9,0)),IF(ISERROR(VLOOKUP($A35,,8,0)),"    -",VLOOKUP($A35,,8,0)),VLOOKUP($A35,,9,0)))</f>
        <v>    -</v>
      </c>
      <c r="H35" s="217" t="str">
        <f aca="false">IF(A35="","x",IF(ISERROR(VLOOKUP($A35,,10,0)),IF(ISERROR(VLOOKUP($A35,,9,0)),"x",VLOOKUP($A35,,9,0)),VLOOKUP($A35,,10,0)))</f>
        <v>x</v>
      </c>
      <c r="I35" s="6" t="n">
        <f aca="false">IF(A35="","",1)</f>
        <v>1</v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>non répertorié ou synonyme. Vérifiez !</v>
      </c>
      <c r="M35" s="219"/>
      <c r="N35" s="219"/>
      <c r="O35" s="219"/>
      <c r="P35" s="220" t="s">
        <v>79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>TETSPX</v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 t="s">
        <v>91</v>
      </c>
      <c r="B36" s="211" t="n">
        <v>0.114166997373104</v>
      </c>
      <c r="C36" s="212" t="n">
        <v>0.228332996368408</v>
      </c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n">
        <f aca="false">IF(AND(OR(A36="",A36="!!!!!!"),B36="",C36=""),"",IF(OR(AND(B36="",C36=""),ISERROR(C36+B36)),"!!!",($B36*$B$7+$C36*$C$7)/100))</f>
        <v>0.2066414565593</v>
      </c>
      <c r="G36" s="216" t="str">
        <f aca="false">IF(A36="","",IF(ISERROR(VLOOKUP($A36,,9,0)),IF(ISERROR(VLOOKUP($A36,,8,0)),"    -",VLOOKUP($A36,,8,0)),VLOOKUP($A36,,9,0)))</f>
        <v>    -</v>
      </c>
      <c r="H36" s="217" t="str">
        <f aca="false">IF(A36="","x",IF(ISERROR(VLOOKUP($A36,,10,0)),IF(ISERROR(VLOOKUP($A36,,9,0)),"x",VLOOKUP($A36,,9,0)),VLOOKUP($A36,,10,0)))</f>
        <v>x</v>
      </c>
      <c r="I36" s="6" t="n">
        <f aca="false">IF(A36="","",1)</f>
        <v>1</v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>non répertorié ou synonyme. Vérifiez !</v>
      </c>
      <c r="M36" s="219"/>
      <c r="N36" s="219"/>
      <c r="O36" s="219"/>
      <c r="P36" s="220" t="s">
        <v>79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>PHOSPX</v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 t="s">
        <v>92</v>
      </c>
      <c r="B37" s="211" t="n">
        <v>0.00999999977648258</v>
      </c>
      <c r="C37" s="212" t="n">
        <v>0.00999999977648258</v>
      </c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n">
        <f aca="false">IF(AND(OR(A37="",A37="!!!!!!"),B37="",C37=""),"",IF(OR(AND(B37="",C37=""),ISERROR(C37+B37)),"!!!",($B37*$B$7+$C37*$C$7)/100))</f>
        <v>0.00999999977648258</v>
      </c>
      <c r="G37" s="216" t="str">
        <f aca="false">IF(A37="","",IF(ISERROR(VLOOKUP($A37,,9,0)),IF(ISERROR(VLOOKUP($A37,,8,0)),"    -",VLOOKUP($A37,,8,0)),VLOOKUP($A37,,9,0)))</f>
        <v>    -</v>
      </c>
      <c r="H37" s="217" t="str">
        <f aca="false">IF(A37="","x",IF(ISERROR(VLOOKUP($A37,,10,0)),IF(ISERROR(VLOOKUP($A37,,9,0)),"x",VLOOKUP($A37,,9,0)),VLOOKUP($A37,,10,0)))</f>
        <v>x</v>
      </c>
      <c r="I37" s="6" t="n">
        <f aca="false">IF(A37="","",1)</f>
        <v>1</v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>non répertorié ou synonyme. Vérifiez !</v>
      </c>
      <c r="M37" s="219"/>
      <c r="N37" s="219"/>
      <c r="O37" s="219"/>
      <c r="P37" s="220" t="s">
        <v>79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>STISPX</v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 t="s">
        <v>93</v>
      </c>
      <c r="B38" s="211" t="n">
        <v>0.00999999977648258</v>
      </c>
      <c r="C38" s="212" t="n">
        <v>0</v>
      </c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n">
        <f aca="false">IF(AND(OR(A38="",A38="!!!!!!"),B38="",C38=""),"",IF(OR(AND(B38="",C38=""),ISERROR(C38+B38)),"!!!",($B38*$B$7+$C38*$C$7)/100))</f>
        <v>0.00189999995753169</v>
      </c>
      <c r="G38" s="216" t="str">
        <f aca="false">IF(A38="","",IF(ISERROR(VLOOKUP($A38,,9,0)),IF(ISERROR(VLOOKUP($A38,,8,0)),"    -",VLOOKUP($A38,,8,0)),VLOOKUP($A38,,9,0)))</f>
        <v>    -</v>
      </c>
      <c r="H38" s="217" t="str">
        <f aca="false">IF(A38="","x",IF(ISERROR(VLOOKUP($A38,,10,0)),IF(ISERROR(VLOOKUP($A38,,9,0)),"x",VLOOKUP($A38,,9,0)),VLOOKUP($A38,,10,0)))</f>
        <v>x</v>
      </c>
      <c r="I38" s="6" t="n">
        <f aca="false">IF(A38="","",1)</f>
        <v>1</v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>non répertorié ou synonyme. Vérifiez !</v>
      </c>
      <c r="M38" s="219"/>
      <c r="N38" s="219"/>
      <c r="O38" s="219"/>
      <c r="P38" s="220" t="s">
        <v>79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>FONSQU</v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 t="s">
        <v>94</v>
      </c>
      <c r="B39" s="211" t="n">
        <v>1.45455002784729</v>
      </c>
      <c r="C39" s="212" t="n">
        <v>0.363635987043381</v>
      </c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n">
        <f aca="false">IF(AND(OR(A39="",A39="!!!!!!"),B39="",C39=""),"",IF(OR(AND(B39="",C39=""),ISERROR(C39+B39)),"!!!",($B39*$B$7+$C39*$C$7)/100))</f>
        <v>0.570909654796124</v>
      </c>
      <c r="G39" s="216" t="str">
        <f aca="false">IF(A39="","",IF(ISERROR(VLOOKUP($A39,,9,0)),IF(ISERROR(VLOOKUP($A39,,8,0)),"    -",VLOOKUP($A39,,8,0)),VLOOKUP($A39,,9,0)))</f>
        <v>    -</v>
      </c>
      <c r="H39" s="217" t="str">
        <f aca="false">IF(A39="","x",IF(ISERROR(VLOOKUP($A39,,10,0)),IF(ISERROR(VLOOKUP($A39,,9,0)),"x",VLOOKUP($A39,,9,0)),VLOOKUP($A39,,10,0)))</f>
        <v>x</v>
      </c>
      <c r="I39" s="6" t="n">
        <f aca="false">IF(A39="","",1)</f>
        <v>1</v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>non répertorié ou synonyme. Vérifiez !</v>
      </c>
      <c r="M39" s="219"/>
      <c r="N39" s="219"/>
      <c r="O39" s="219"/>
      <c r="P39" s="220" t="s">
        <v>95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>GOMSPX</v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 t="s">
        <v>96</v>
      </c>
      <c r="B40" s="211" t="n">
        <v>0</v>
      </c>
      <c r="C40" s="212" t="n">
        <v>0.00999999977648258</v>
      </c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n">
        <f aca="false">IF(AND(OR(A40="",A40="!!!!!!"),B40="",C40=""),"",IF(OR(AND(B40="",C40=""),ISERROR(C40+B40)),"!!!",($B40*$B$7+$C40*$C$7)/100))</f>
        <v>0.00809999981895089</v>
      </c>
      <c r="G40" s="216" t="str">
        <f aca="false">IF(A40="","",IF(ISERROR(VLOOKUP($A40,,9,0)),IF(ISERROR(VLOOKUP($A40,,8,0)),"    -",VLOOKUP($A40,,8,0)),VLOOKUP($A40,,9,0)))</f>
        <v>    -</v>
      </c>
      <c r="H40" s="217" t="str">
        <f aca="false">IF(A40="","x",IF(ISERROR(VLOOKUP($A40,,10,0)),IF(ISERROR(VLOOKUP($A40,,9,0)),"x",VLOOKUP($A40,,9,0)),VLOOKUP($A40,,10,0)))</f>
        <v>x</v>
      </c>
      <c r="I40" s="6" t="n">
        <f aca="false">IF(A40="","",1)</f>
        <v>1</v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>non répertorié ou synonyme. Vérifiez !</v>
      </c>
      <c r="M40" s="219"/>
      <c r="N40" s="219"/>
      <c r="O40" s="219"/>
      <c r="P40" s="220" t="s">
        <v>95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>LEEORY</v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 t="s">
        <v>97</v>
      </c>
      <c r="B41" s="211" t="n">
        <v>0.00999999977648258</v>
      </c>
      <c r="C41" s="212" t="n">
        <v>0.00999999977648258</v>
      </c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n">
        <f aca="false">IF(AND(OR(A41="",A41="!!!!!!"),B41="",C41=""),"",IF(OR(AND(B41="",C41=""),ISERROR(C41+B41)),"!!!",($B41*$B$7+$C41*$C$7)/100))</f>
        <v>0.00999999977648258</v>
      </c>
      <c r="G41" s="216" t="str">
        <f aca="false">IF(A41="","",IF(ISERROR(VLOOKUP($A41,,9,0)),IF(ISERROR(VLOOKUP($A41,,8,0)),"    -",VLOOKUP($A41,,8,0)),VLOOKUP($A41,,9,0)))</f>
        <v>    -</v>
      </c>
      <c r="H41" s="217" t="str">
        <f aca="false">IF(A41="","x",IF(ISERROR(VLOOKUP($A41,,10,0)),IF(ISERROR(VLOOKUP($A41,,9,0)),"x",VLOOKUP($A41,,9,0)),VLOOKUP($A41,,10,0)))</f>
        <v>x</v>
      </c>
      <c r="I41" s="6" t="n">
        <f aca="false">IF(A41="","",1)</f>
        <v>1</v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>non répertorié ou synonyme. Vérifiez !</v>
      </c>
      <c r="M41" s="219"/>
      <c r="N41" s="219"/>
      <c r="O41" s="219"/>
      <c r="P41" s="220" t="s">
        <v>79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>LYSVUL</v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 t="s">
        <v>98</v>
      </c>
      <c r="B42" s="211" t="n">
        <v>0.00999999977648258</v>
      </c>
      <c r="C42" s="212" t="n">
        <v>0</v>
      </c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n">
        <f aca="false">IF(AND(OR(A42="",A42="!!!!!!"),B42="",C42=""),"",IF(OR(AND(B42="",C42=""),ISERROR(C42+B42)),"!!!",($B42*$B$7+$C42*$C$7)/100))</f>
        <v>0.00189999995753169</v>
      </c>
      <c r="G42" s="216" t="str">
        <f aca="false">IF(A42="","",IF(ISERROR(VLOOKUP($A42,,9,0)),IF(ISERROR(VLOOKUP($A42,,8,0)),"    -",VLOOKUP($A42,,8,0)),VLOOKUP($A42,,9,0)))</f>
        <v>    -</v>
      </c>
      <c r="H42" s="217" t="str">
        <f aca="false">IF(A42="","x",IF(ISERROR(VLOOKUP($A42,,10,0)),IF(ISERROR(VLOOKUP($A42,,9,0)),"x",VLOOKUP($A42,,9,0)),VLOOKUP($A42,,10,0)))</f>
        <v>x</v>
      </c>
      <c r="I42" s="6" t="n">
        <f aca="false">IF(A42="","",1)</f>
        <v>1</v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>non répertorié ou synonyme. Vérifiez !</v>
      </c>
      <c r="M42" s="219"/>
      <c r="N42" s="219"/>
      <c r="O42" s="219"/>
      <c r="P42" s="220" t="s">
        <v>79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>LYTSAL</v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 t="s">
        <v>99</v>
      </c>
      <c r="B43" s="211" t="n">
        <v>0.00999999977648258</v>
      </c>
      <c r="C43" s="212" t="n">
        <v>0.00999999977648258</v>
      </c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n">
        <f aca="false">IF(AND(OR(A43="",A43="!!!!!!"),B43="",C43=""),"",IF(OR(AND(B43="",C43=""),ISERROR(C43+B43)),"!!!",($B43*$B$7+$C43*$C$7)/100))</f>
        <v>0.00999999977648258</v>
      </c>
      <c r="G43" s="216" t="str">
        <f aca="false">IF(A43="","",IF(ISERROR(VLOOKUP($A43,,9,0)),IF(ISERROR(VLOOKUP($A43,,8,0)),"    -",VLOOKUP($A43,,8,0)),VLOOKUP($A43,,9,0)))</f>
        <v>    -</v>
      </c>
      <c r="H43" s="217" t="str">
        <f aca="false">IF(A43="","x",IF(ISERROR(VLOOKUP($A43,,10,0)),IF(ISERROR(VLOOKUP($A43,,9,0)),"x",VLOOKUP($A43,,9,0)),VLOOKUP($A43,,10,0)))</f>
        <v>x</v>
      </c>
      <c r="I43" s="6" t="n">
        <f aca="false">IF(A43="","",1)</f>
        <v>1</v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>non répertorié ou synonyme. Vérifiez !</v>
      </c>
      <c r="M43" s="219"/>
      <c r="N43" s="219"/>
      <c r="O43" s="219"/>
      <c r="P43" s="220" t="s">
        <v>79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>PAASPX</v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 t="s">
        <v>100</v>
      </c>
      <c r="B44" s="211" t="n">
        <v>0.00999999977648258</v>
      </c>
      <c r="C44" s="212" t="n">
        <v>0.00999999977648258</v>
      </c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n">
        <f aca="false">IF(AND(OR(A44="",A44="!!!!!!"),B44="",C44=""),"",IF(OR(AND(B44="",C44=""),ISERROR(C44+B44)),"!!!",($B44*$B$7+$C44*$C$7)/100))</f>
        <v>0.00999999977648258</v>
      </c>
      <c r="G44" s="216" t="str">
        <f aca="false">IF(A44="","",IF(ISERROR(VLOOKUP($A44,,9,0)),IF(ISERROR(VLOOKUP($A44,,8,0)),"    -",VLOOKUP($A44,,8,0)),VLOOKUP($A44,,9,0)))</f>
        <v>    -</v>
      </c>
      <c r="H44" s="217" t="str">
        <f aca="false">IF(A44="","x",IF(ISERROR(VLOOKUP($A44,,10,0)),IF(ISERROR(VLOOKUP($A44,,9,0)),"x",VLOOKUP($A44,,9,0)),VLOOKUP($A44,,10,0)))</f>
        <v>x</v>
      </c>
      <c r="I44" s="6" t="n">
        <f aca="false">IF(A44="","",1)</f>
        <v>1</v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>non répertorié ou synonyme. Vérifiez !</v>
      </c>
      <c r="M44" s="219"/>
      <c r="N44" s="219"/>
      <c r="O44" s="219"/>
      <c r="P44" s="220" t="s">
        <v>79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>PLESPX</v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 t="s">
        <v>101</v>
      </c>
      <c r="B45" s="211" t="n">
        <v>0</v>
      </c>
      <c r="C45" s="212" t="n">
        <v>0.00999999977648258</v>
      </c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n">
        <f aca="false">IF(AND(OR(A45="",A45="!!!!!!"),B45="",C45=""),"",IF(OR(AND(B45="",C45=""),ISERROR(C45+B45)),"!!!",($B45*$B$7+$C45*$C$7)/100))</f>
        <v>0.00809999981895089</v>
      </c>
      <c r="G45" s="216" t="str">
        <f aca="false">IF(A45="","",IF(ISERROR(VLOOKUP($A45,,9,0)),IF(ISERROR(VLOOKUP($A45,,8,0)),"    -",VLOOKUP($A45,,8,0)),VLOOKUP($A45,,9,0)))</f>
        <v>    -</v>
      </c>
      <c r="H45" s="217" t="str">
        <f aca="false">IF(A45="","x",IF(ISERROR(VLOOKUP($A45,,10,0)),IF(ISERROR(VLOOKUP($A45,,9,0)),"x",VLOOKUP($A45,,9,0)),VLOOKUP($A45,,10,0)))</f>
        <v>x</v>
      </c>
      <c r="I45" s="6" t="n">
        <f aca="false">IF(A45="","",1)</f>
        <v>1</v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>non répertorié ou synonyme. Vérifiez !</v>
      </c>
      <c r="M45" s="219"/>
      <c r="N45" s="219"/>
      <c r="O45" s="219"/>
      <c r="P45" s="220" t="s">
        <v>95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>POAPAL</v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 t="s">
        <v>102</v>
      </c>
      <c r="B46" s="211" t="n">
        <v>0</v>
      </c>
      <c r="C46" s="212" t="n">
        <v>0.00999999977648258</v>
      </c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n">
        <f aca="false">IF(AND(OR(A46="",A46="!!!!!!"),B46="",C46=""),"",IF(OR(AND(B46="",C46=""),ISERROR(C46+B46)),"!!!",($B46*$B$7+$C46*$C$7)/100))</f>
        <v>0.00809999981895089</v>
      </c>
      <c r="G46" s="216" t="str">
        <f aca="false">IF(A46="","",IF(ISERROR(VLOOKUP($A46,,9,0)),IF(ISERROR(VLOOKUP($A46,,8,0)),"    -",VLOOKUP($A46,,8,0)),VLOOKUP($A46,,9,0)))</f>
        <v>    -</v>
      </c>
      <c r="H46" s="217" t="str">
        <f aca="false">IF(A46="","x",IF(ISERROR(VLOOKUP($A46,,10,0)),IF(ISERROR(VLOOKUP($A46,,9,0)),"x",VLOOKUP($A46,,9,0)),VLOOKUP($A46,,10,0)))</f>
        <v>x</v>
      </c>
      <c r="I46" s="6" t="n">
        <f aca="false">IF(A46="","",1)</f>
        <v>1</v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>non répertorié ou synonyme. Vérifiez !</v>
      </c>
      <c r="M46" s="219"/>
      <c r="N46" s="219"/>
      <c r="O46" s="219"/>
      <c r="P46" s="220" t="s">
        <v>79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>RANREP</v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 t="s">
        <v>103</v>
      </c>
      <c r="B47" s="211" t="n">
        <v>0.00999999977648258</v>
      </c>
      <c r="C47" s="212" t="n">
        <v>0</v>
      </c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n">
        <f aca="false">IF(AND(OR(A47="",A47="!!!!!!"),B47="",C47=""),"",IF(OR(AND(B47="",C47=""),ISERROR(C47+B47)),"!!!",($B47*$B$7+$C47*$C$7)/100))</f>
        <v>0.00189999995753169</v>
      </c>
      <c r="G47" s="216" t="str">
        <f aca="false">IF(A47="","",IF(ISERROR(VLOOKUP($A47,,9,0)),IF(ISERROR(VLOOKUP($A47,,8,0)),"    -",VLOOKUP($A47,,8,0)),VLOOKUP($A47,,9,0)))</f>
        <v>    -</v>
      </c>
      <c r="H47" s="217" t="str">
        <f aca="false">IF(A47="","x",IF(ISERROR(VLOOKUP($A47,,10,0)),IF(ISERROR(VLOOKUP($A47,,9,0)),"x",VLOOKUP($A47,,9,0)),VLOOKUP($A47,,10,0)))</f>
        <v>x</v>
      </c>
      <c r="I47" s="6" t="n">
        <f aca="false">IF(A47="","",1)</f>
        <v>1</v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>non répertorié ou synonyme. Vérifiez !</v>
      </c>
      <c r="M47" s="219"/>
      <c r="N47" s="219"/>
      <c r="O47" s="219"/>
      <c r="P47" s="220" t="s">
        <v>79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>RORSYL</v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 t="s">
        <v>104</v>
      </c>
      <c r="B48" s="211" t="n">
        <v>0.00999999977648258</v>
      </c>
      <c r="C48" s="212" t="n">
        <v>0.00999999977648258</v>
      </c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n">
        <f aca="false">IF(AND(OR(A48="",A48="!!!!!!"),B48="",C48=""),"",IF(OR(AND(B48="",C48=""),ISERROR(C48+B48)),"!!!",($B48*$B$7+$C48*$C$7)/100))</f>
        <v>0.00999999977648258</v>
      </c>
      <c r="G48" s="216" t="str">
        <f aca="false">IF(A48="","",IF(ISERROR(VLOOKUP($A48,,9,0)),IF(ISERROR(VLOOKUP($A48,,8,0)),"    -",VLOOKUP($A48,,8,0)),VLOOKUP($A48,,9,0)))</f>
        <v>    -</v>
      </c>
      <c r="H48" s="217" t="str">
        <f aca="false">IF(A48="","x",IF(ISERROR(VLOOKUP($A48,,10,0)),IF(ISERROR(VLOOKUP($A48,,9,0)),"x",VLOOKUP($A48,,9,0)),VLOOKUP($A48,,10,0)))</f>
        <v>x</v>
      </c>
      <c r="I48" s="6" t="n">
        <f aca="false">IF(A48="","",1)</f>
        <v>1</v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>non répertorié ou synonyme. Vérifiez !</v>
      </c>
      <c r="M48" s="219"/>
      <c r="N48" s="219"/>
      <c r="O48" s="219"/>
      <c r="P48" s="220" t="s">
        <v>79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>SOADUL</v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 t="s">
        <v>105</v>
      </c>
      <c r="B49" s="211" t="n">
        <v>0</v>
      </c>
      <c r="C49" s="212" t="n">
        <v>0.00999999977648258</v>
      </c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n">
        <f aca="false">IF(AND(OR(A49="",A49="!!!!!!"),B49="",C49=""),"",IF(OR(AND(B49="",C49=""),ISERROR(C49+B49)),"!!!",($B49*$B$7+$C49*$C$7)/100))</f>
        <v>0.00809999981895089</v>
      </c>
      <c r="G49" s="216" t="str">
        <f aca="false">IF(A49="","",IF(ISERROR(VLOOKUP($A49,,9,0)),IF(ISERROR(VLOOKUP($A49,,8,0)),"    -",VLOOKUP($A49,,8,0)),VLOOKUP($A49,,9,0)))</f>
        <v>    -</v>
      </c>
      <c r="H49" s="217" t="str">
        <f aca="false">IF(A49="","x",IF(ISERROR(VLOOKUP($A49,,10,0)),IF(ISERROR(VLOOKUP($A49,,9,0)),"x",VLOOKUP($A49,,9,0)),VLOOKUP($A49,,10,0)))</f>
        <v>x</v>
      </c>
      <c r="I49" s="6" t="n">
        <f aca="false">IF(A49="","",1)</f>
        <v>1</v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>non répertorié ou synonyme. Vérifiez !</v>
      </c>
      <c r="M49" s="219"/>
      <c r="N49" s="219"/>
      <c r="O49" s="219"/>
      <c r="P49" s="220" t="s">
        <v>79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>STAPAL</v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 t="s">
        <v>106</v>
      </c>
      <c r="B50" s="211" t="n">
        <v>0</v>
      </c>
      <c r="C50" s="212" t="n">
        <v>0.00999999977648258</v>
      </c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n">
        <f aca="false">IF(AND(OR(A50="",A50="!!!!!!"),B50="",C50=""),"",IF(OR(AND(B50="",C50=""),ISERROR(C50+B50)),"!!!",($B50*$B$7+$C50*$C$7)/100))</f>
        <v>0.00809999981895089</v>
      </c>
      <c r="G50" s="216" t="str">
        <f aca="false">IF(A50="","",IF(ISERROR(VLOOKUP($A50,,9,0)),IF(ISERROR(VLOOKUP($A50,,8,0)),"    -",VLOOKUP($A50,,8,0)),VLOOKUP($A50,,9,0)))</f>
        <v>    -</v>
      </c>
      <c r="H50" s="217" t="str">
        <f aca="false">IF(A50="","x",IF(ISERROR(VLOOKUP($A50,,10,0)),IF(ISERROR(VLOOKUP($A50,,9,0)),"x",VLOOKUP($A50,,9,0)),VLOOKUP($A50,,10,0)))</f>
        <v>x</v>
      </c>
      <c r="I50" s="6" t="n">
        <f aca="false">IF(A50="","",1)</f>
        <v>1</v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>Cyperaceae</v>
      </c>
      <c r="M50" s="219"/>
      <c r="N50" s="219"/>
      <c r="O50" s="219"/>
      <c r="P50" s="220" t="s">
        <v>79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>NoCod</v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 t="s">
        <v>107</v>
      </c>
      <c r="X50" s="224"/>
      <c r="Y50" s="207" t="str">
        <f aca="false">IF(AND(ISNUMBER(F50),OR(A50="",A50="!!!!!!")),"!!!!!!",IF(A50="new.cod","NEWCOD",IF(AND((Z50=""),ISTEXT(A50),A50&lt;&gt;"!!!!!!"),A50,IF(Z50="","",INDEX(,Z50)))))</f>
        <v>NEWCOD</v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 t="s">
        <v>106</v>
      </c>
      <c r="B51" s="211" t="n">
        <v>0.00999999977648258</v>
      </c>
      <c r="C51" s="212" t="n">
        <v>0.00999999977648258</v>
      </c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n">
        <f aca="false">IF(AND(OR(A51="",A51="!!!!!!"),B51="",C51=""),"",IF(OR(AND(B51="",C51=""),ISERROR(C51+B51)),"!!!",($B51*$B$7+$C51*$C$7)/100))</f>
        <v>0.00999999977648258</v>
      </c>
      <c r="G51" s="216" t="str">
        <f aca="false">IF(A51="","",IF(ISERROR(VLOOKUP($A51,,9,0)),IF(ISERROR(VLOOKUP($A51,,8,0)),"    -",VLOOKUP($A51,,8,0)),VLOOKUP($A51,,9,0)))</f>
        <v>    -</v>
      </c>
      <c r="H51" s="217" t="str">
        <f aca="false">IF(A51="","x",IF(ISERROR(VLOOKUP($A51,,10,0)),IF(ISERROR(VLOOKUP($A51,,9,0)),"x",VLOOKUP($A51,,9,0)),VLOOKUP($A51,,10,0)))</f>
        <v>x</v>
      </c>
      <c r="I51" s="6" t="n">
        <f aca="false">IF(A51="","",1)</f>
        <v>1</v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>Poaceae</v>
      </c>
      <c r="M51" s="219"/>
      <c r="N51" s="219"/>
      <c r="O51" s="219"/>
      <c r="P51" s="220" t="s">
        <v>79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>NoCod</v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 t="s">
        <v>108</v>
      </c>
      <c r="X51" s="224"/>
      <c r="Y51" s="207" t="str">
        <f aca="false">IF(AND(ISNUMBER(F51),OR(A51="",A51="!!!!!!")),"!!!!!!",IF(A51="new.cod","NEWCOD",IF(AND((Z51=""),ISTEXT(A51),A51&lt;&gt;"!!!!!!"),A51,IF(Z51="","",INDEX(,Z51)))))</f>
        <v>NEWCOD</v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79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79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79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79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79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79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79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79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79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79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tru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79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tru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79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tru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79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tru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79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tru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79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tru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79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tru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79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tru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79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tru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79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tru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79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tru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79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tru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79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tru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79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tru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79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tru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79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tru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79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tru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79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tru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79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tru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79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tru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79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79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3.09878344444558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l'Allier</v>
      </c>
      <c r="B84" s="175" t="str">
        <f aca="false">C3</f>
        <v>ALLIER À LANGEAC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29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3.09878344444558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109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110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111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112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113</v>
      </c>
      <c r="S90" s="6" t="s">
        <v>10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114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115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116</v>
      </c>
      <c r="S93" s="6"/>
      <c r="T93" s="207" t="str">
        <f aca="false">INDEX($A$23:$A$82,$T$92)</f>
        <v>RHISPX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2024-04-17T19:34:33Z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