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40" sheetId="1" state="visible" r:id="rId3"/>
  </sheets>
  <definedNames>
    <definedName function="false" hidden="false" localSheetId="0" name="_xlnm.Print_Area" vbProcedure="false">'04027740'!$A$1:$Q$82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<sst xmlns="http://schemas.openxmlformats.org/spreadsheetml/2006/main" count="167" uniqueCount="102">
  <si>
    <t xml:space="preserve">Relevés floristiques aquatiques - IBMR</t>
  </si>
  <si>
    <t xml:space="preserve">AQUABIO</t>
  </si>
  <si>
    <t xml:space="preserve">Marie COURSOLLES, Nicolas CONDUCHE</t>
  </si>
  <si>
    <t xml:space="preserve">l'Allier</t>
  </si>
  <si>
    <t xml:space="preserve">ALLIER À BLASSAC</t>
  </si>
  <si>
    <t xml:space="preserve">04027740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</si>
  <si>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</si>
  <si>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</si>
  <si>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</si>
  <si>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</si>
  <si>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</si>
  <si>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</si>
  <si>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</si>
  <si>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</si>
  <si>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</si>
  <si>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</si>
  <si>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</si>
  <si>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rapide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</si>
  <si>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</si>
  <si>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</si>
  <si>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</si>
  <si>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</si>
  <si>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</si>
  <si>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</si>
  <si>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</si>
  <si>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</si>
  <si>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</si>
  <si>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</si>
  <si>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</si>
  <si>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</si>
  <si>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</si>
  <si>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</si>
  <si>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</si>
  <si>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</si>
  <si>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</si>
  <si>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</si>
  <si>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</si>
  <si>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</si>
  <si>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</si>
  <si>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</si>
  <si>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</si>
  <si>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</si>
  <si>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</si>
  <si>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</si>
  <si>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</si>
  <si>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</si>
  <si>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</si>
  <si>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</si>
  <si>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</si>
  <si>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</si>
  <si>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</si>
  <si>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</si>
  <si>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</si>
  <si>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</si>
  <si>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</si>
  <si>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</si>
  <si>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</si>
  <si>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</si>
  <si>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</si>
  <si>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</si>
  <si>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</si>
  <si>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</si>
  <si>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</si>
  <si>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</si>
  <si>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</si>
  <si>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</si>
  <si>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</si>
  <si>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</si>
  <si>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</si>
  <si>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</si>
  <si>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</si>
  <si>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</si>
  <si>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</si>
  <si>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</si>
  <si>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</si>
  <si>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</si>
  <si>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</si>
  <si>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VAUSPX</t>
  </si>
  <si>
    <t xml:space="preserve"> -</t>
  </si>
  <si>
    <t xml:space="preserve">OEDSPX</t>
  </si>
  <si>
    <t xml:space="preserve">PERAMP</t>
  </si>
  <si>
    <t xml:space="preserve">AGRSTO</t>
  </si>
  <si>
    <t xml:space="preserve">MELSPX</t>
  </si>
  <si>
    <t xml:space="preserve">PHAARU</t>
  </si>
  <si>
    <t xml:space="preserve">SPISPX</t>
  </si>
  <si>
    <t xml:space="preserve">RANPEU</t>
  </si>
  <si>
    <t xml:space="preserve">RHYRIP</t>
  </si>
  <si>
    <t xml:space="preserve">AUDSPX</t>
  </si>
  <si>
    <t xml:space="preserve">PHOSPX</t>
  </si>
  <si>
    <t xml:space="preserve">HILSPX</t>
  </si>
  <si>
    <t xml:space="preserve">CARSPX</t>
  </si>
  <si>
    <t xml:space="preserve">GOMSPX</t>
  </si>
  <si>
    <t xml:space="preserve">PAASPX</t>
  </si>
  <si>
    <t xml:space="preserve">RORSYL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</si>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</sst>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42663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</v>
      </c>
      <c r="N5" s="48"/>
      <c r="O5" s="49" t="s">
        <v>15</v>
      </c>
      <c r="P5" s="50" t="n">
        <v>10.8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20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21</v>
      </c>
      <c r="B7" s="65" t="n">
        <v>9</v>
      </c>
      <c r="C7" s="66" t="n">
        <v>91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22</v>
      </c>
      <c r="P7" s="75" t="s">
        <v>23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24</v>
      </c>
      <c r="B8" s="40"/>
      <c r="C8" s="40"/>
      <c r="D8" s="54"/>
      <c r="E8" s="54"/>
      <c r="F8" s="77" t="s">
        <v>25</v>
      </c>
      <c r="G8" s="78"/>
      <c r="H8" s="54"/>
      <c r="I8" s="6"/>
      <c r="J8" s="69"/>
      <c r="K8" s="70"/>
      <c r="L8" s="71"/>
      <c r="M8" s="72"/>
      <c r="N8" s="79" t="s">
        <v>26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27</v>
      </c>
      <c r="B9" s="65" t="n">
        <v>6.40000009536743</v>
      </c>
      <c r="C9" s="66" t="n">
        <v>5.30000019073486</v>
      </c>
      <c r="D9" s="82"/>
      <c r="E9" s="82"/>
      <c r="F9" s="83" t="n">
        <f aca="false">($B9*$B$7+$C9*$C$7)/100</f>
        <v>5.39900018215179</v>
      </c>
      <c r="G9" s="84"/>
      <c r="H9" s="41"/>
      <c r="I9" s="6"/>
      <c r="J9" s="85"/>
      <c r="K9" s="86"/>
      <c r="L9" s="71"/>
      <c r="M9" s="87"/>
      <c r="N9" s="79" t="s">
        <v>28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29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30</v>
      </c>
      <c r="L10" s="92"/>
      <c r="M10" s="93"/>
      <c r="N10" s="79" t="s">
        <v>31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32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33</v>
      </c>
      <c r="K11" s="101"/>
      <c r="L11" s="102" t="n">
        <f aca="false">COUNTIF($G$23:$G$82,"=HET")</f>
        <v>0</v>
      </c>
      <c r="M11" s="103"/>
      <c r="N11" s="79" t="s">
        <v>34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35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36</v>
      </c>
      <c r="K12" s="101"/>
      <c r="L12" s="102" t="n">
        <f aca="false">COUNTIF($G$23:$G$82,"=ALG")</f>
        <v>0</v>
      </c>
      <c r="M12" s="103"/>
      <c r="N12" s="107"/>
      <c r="O12" s="108" t="s">
        <v>30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37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38</v>
      </c>
      <c r="K13" s="101"/>
      <c r="L13" s="102" t="n">
        <f aca="false">COUNTIF($G$23:$G$82,"=BRm")+COUNTIF($G$23:$G$82,"=BRh")</f>
        <v>0</v>
      </c>
      <c r="M13" s="103"/>
      <c r="N13" s="111" t="s">
        <v>39</v>
      </c>
      <c r="O13" s="112" t="n">
        <f aca="false">COUNTIF(F23:F82,"&gt;0")</f>
        <v>17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40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41</v>
      </c>
      <c r="K14" s="101"/>
      <c r="L14" s="102" t="n">
        <f aca="false">COUNTIF($G$23:$G$82,"=PTE")+COUNTIF($G$23:$G$82,"=LIC")</f>
        <v>0</v>
      </c>
      <c r="M14" s="103"/>
      <c r="N14" s="114" t="s">
        <v>42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43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44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45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46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47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48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49</v>
      </c>
      <c r="M17" s="129" t="n">
        <f aca="false">IF(ISERROR((O13-(COUNTIF(J23:J82,"nc")))/O13),"-",(O13-(COUNTIF(J23:J82,"nc")))/O13)</f>
        <v>1</v>
      </c>
      <c r="N17" s="111" t="s">
        <v>50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51</v>
      </c>
      <c r="B18" s="132"/>
      <c r="C18" s="133"/>
      <c r="D18" s="82"/>
      <c r="E18" s="134" t="s">
        <v>52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53</v>
      </c>
      <c r="B20" s="154" t="n">
        <f aca="false">SUM(B23:B82)</f>
        <v>6.51000000350177</v>
      </c>
      <c r="C20" s="155" t="n">
        <f aca="false">SUM(C23:C82)</f>
        <v>5.45000000111759</v>
      </c>
      <c r="D20" s="156"/>
      <c r="E20" s="157" t="s">
        <v>52</v>
      </c>
      <c r="F20" s="158" t="n">
        <f aca="false">($B20*$B$7+$C20*$C$7)/100</f>
        <v>5.54540000133216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54</v>
      </c>
      <c r="B21" s="166" t="n">
        <f aca="false">B20*B7/100</f>
        <v>0.58590000031516</v>
      </c>
      <c r="C21" s="166" t="n">
        <f aca="false">C20*C7/100</f>
        <v>4.959500001017</v>
      </c>
      <c r="D21" s="167" t="s">
        <v>55</v>
      </c>
      <c r="E21" s="168"/>
      <c r="F21" s="169" t="n">
        <f aca="false">B21+C21</f>
        <v>5.54540000133216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56</v>
      </c>
    </row>
    <row r="22" customFormat="false" ht="12.75" hidden="false" customHeight="false" outlineLevel="0" collapsed="false">
      <c r="A22" s="178" t="s">
        <v>57</v>
      </c>
      <c r="B22" s="179" t="s">
        <v>58</v>
      </c>
      <c r="C22" s="179" t="s">
        <v>58</v>
      </c>
      <c r="D22" s="180"/>
      <c r="E22" s="181"/>
      <c r="F22" s="182" t="s">
        <v>59</v>
      </c>
      <c r="G22" s="183" t="s">
        <v>60</v>
      </c>
      <c r="H22" s="82" t="s">
        <v>61</v>
      </c>
      <c r="I22" s="6" t="s">
        <v>62</v>
      </c>
      <c r="J22" s="184" t="s">
        <v>63</v>
      </c>
      <c r="K22" s="184" t="s">
        <v>64</v>
      </c>
      <c r="L22" s="185" t="s">
        <v>65</v>
      </c>
      <c r="M22" s="185"/>
      <c r="N22" s="185"/>
      <c r="O22" s="185"/>
      <c r="P22" s="177" t="s">
        <v>66</v>
      </c>
      <c r="Q22" s="186" t="s">
        <v>67</v>
      </c>
      <c r="R22" s="187" t="s">
        <v>68</v>
      </c>
      <c r="S22" s="188" t="s">
        <v>69</v>
      </c>
      <c r="T22" s="189" t="s">
        <v>70</v>
      </c>
      <c r="U22" s="189" t="s">
        <v>71</v>
      </c>
      <c r="V22" s="190" t="s">
        <v>72</v>
      </c>
      <c r="W22" s="191" t="s">
        <v>73</v>
      </c>
      <c r="X22" s="191" t="s">
        <v>74</v>
      </c>
      <c r="Y22" s="192" t="s">
        <v>75</v>
      </c>
      <c r="Z22" s="192" t="s">
        <v>76</v>
      </c>
    </row>
    <row r="23" customFormat="false" ht="12.75" hidden="false" customHeight="false" outlineLevel="0" collapsed="false">
      <c r="A23" s="193" t="s">
        <v>77</v>
      </c>
      <c r="B23" s="194" t="n">
        <v>0.00999999977648258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0.00999999977648258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78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VAUSPX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79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78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OEDSPX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80</v>
      </c>
      <c r="B25" s="211" t="n">
        <v>0</v>
      </c>
      <c r="C25" s="212" t="n">
        <v>0.00999999977648258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0.00909999979659915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78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PERAMP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81</v>
      </c>
      <c r="B26" s="211" t="n">
        <v>0.200000002980232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0.0271000000648201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78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AGRSTO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82</v>
      </c>
      <c r="B27" s="211" t="n">
        <v>0.0199999995529652</v>
      </c>
      <c r="C27" s="212" t="n">
        <v>0.0199999995529652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0.0199999995529652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78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MELSPX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78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PHAARU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0.00999999977648258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0.00999999977648258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78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SPISPX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85</v>
      </c>
      <c r="B30" s="211" t="n">
        <v>3.5</v>
      </c>
      <c r="C30" s="212" t="n">
        <v>5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4.865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78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RANPEU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86</v>
      </c>
      <c r="B31" s="211" t="n">
        <v>1.5</v>
      </c>
      <c r="C31" s="212" t="n">
        <v>0.200000002980232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0.317000002712011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78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RHYRIP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0.00999999977648258</v>
      </c>
      <c r="C32" s="212" t="n">
        <v>0.00999999977648258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0.00999999977648258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78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AUDSPX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0.100000001490116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0.0180999999307096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78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PHOSPX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0.00999999977648258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0.00999999977648258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non répertorié ou synonyme. Vérifiez !</v>
      </c>
      <c r="M34" s="219"/>
      <c r="N34" s="219"/>
      <c r="O34" s="219"/>
      <c r="P34" s="220" t="s">
        <v>78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>HILSPX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 t="s">
        <v>15</v>
      </c>
      <c r="B35" s="211" t="n">
        <v>1</v>
      </c>
      <c r="C35" s="212" t="n">
        <v>0.100000001490116</v>
      </c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n">
        <f aca="false">IF(AND(OR(A35="",A35="!!!!!!"),B35="",C35=""),"",IF(OR(AND(B35="",C35=""),ISERROR(C35+B35)),"!!!",($B35*$B$7+$C35*$C$7)/100))</f>
        <v>0.181000001356006</v>
      </c>
      <c r="G35" s="216" t="str">
        <f aca="false">IF(A35="","",IF(ISERROR(VLOOKUP($A35,,9,0)),IF(ISERROR(VLOOKUP($A35,,8,0)),"    -",VLOOKUP($A35,,8,0)),VLOOKUP($A35,,9,0)))</f>
        <v>    -</v>
      </c>
      <c r="H35" s="217" t="str">
        <f aca="false">IF(A35="","x",IF(ISERROR(VLOOKUP($A35,,10,0)),IF(ISERROR(VLOOKUP($A35,,9,0)),"x",VLOOKUP($A35,,9,0)),VLOOKUP($A35,,10,0)))</f>
        <v>x</v>
      </c>
      <c r="I35" s="6" t="n">
        <f aca="false">IF(A35="","",1)</f>
        <v>1</v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>non répertorié ou synonyme. Vérifiez !</v>
      </c>
      <c r="M35" s="219"/>
      <c r="N35" s="219"/>
      <c r="O35" s="219"/>
      <c r="P35" s="220" t="s">
        <v>78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>FONSQU</v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 t="s">
        <v>90</v>
      </c>
      <c r="B36" s="211" t="n">
        <v>0</v>
      </c>
      <c r="C36" s="212" t="n">
        <v>0.00999999977648258</v>
      </c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n">
        <f aca="false">IF(AND(OR(A36="",A36="!!!!!!"),B36="",C36=""),"",IF(OR(AND(B36="",C36=""),ISERROR(C36+B36)),"!!!",($B36*$B$7+$C36*$C$7)/100))</f>
        <v>0.00909999979659915</v>
      </c>
      <c r="G36" s="216" t="str">
        <f aca="false">IF(A36="","",IF(ISERROR(VLOOKUP($A36,,9,0)),IF(ISERROR(VLOOKUP($A36,,8,0)),"    -",VLOOKUP($A36,,8,0)),VLOOKUP($A36,,9,0)))</f>
        <v>    -</v>
      </c>
      <c r="H36" s="217" t="str">
        <f aca="false">IF(A36="","x",IF(ISERROR(VLOOKUP($A36,,10,0)),IF(ISERROR(VLOOKUP($A36,,9,0)),"x",VLOOKUP($A36,,9,0)),VLOOKUP($A36,,10,0)))</f>
        <v>x</v>
      </c>
      <c r="I36" s="6" t="n">
        <f aca="false">IF(A36="","",1)</f>
        <v>1</v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>non répertorié ou synonyme. Vérifiez !</v>
      </c>
      <c r="M36" s="219"/>
      <c r="N36" s="219"/>
      <c r="O36" s="219"/>
      <c r="P36" s="220" t="s">
        <v>78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>CARSPX</v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 t="s">
        <v>91</v>
      </c>
      <c r="B37" s="211" t="n">
        <v>0.0199999995529652</v>
      </c>
      <c r="C37" s="212" t="n">
        <v>0.0199999995529652</v>
      </c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n">
        <f aca="false">IF(AND(OR(A37="",A37="!!!!!!"),B37="",C37=""),"",IF(OR(AND(B37="",C37=""),ISERROR(C37+B37)),"!!!",($B37*$B$7+$C37*$C$7)/100))</f>
        <v>0.0199999995529652</v>
      </c>
      <c r="G37" s="216" t="str">
        <f aca="false">IF(A37="","",IF(ISERROR(VLOOKUP($A37,,9,0)),IF(ISERROR(VLOOKUP($A37,,8,0)),"    -",VLOOKUP($A37,,8,0)),VLOOKUP($A37,,9,0)))</f>
        <v>    -</v>
      </c>
      <c r="H37" s="217" t="str">
        <f aca="false">IF(A37="","x",IF(ISERROR(VLOOKUP($A37,,10,0)),IF(ISERROR(VLOOKUP($A37,,9,0)),"x",VLOOKUP($A37,,9,0)),VLOOKUP($A37,,10,0)))</f>
        <v>x</v>
      </c>
      <c r="I37" s="6" t="n">
        <f aca="false">IF(A37="","",1)</f>
        <v>1</v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>non répertorié ou synonyme. Vérifiez !</v>
      </c>
      <c r="M37" s="219"/>
      <c r="N37" s="219"/>
      <c r="O37" s="219"/>
      <c r="P37" s="220" t="s">
        <v>78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>GOMSPX</v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 t="s">
        <v>92</v>
      </c>
      <c r="B38" s="211" t="n">
        <v>0.100000001490116</v>
      </c>
      <c r="C38" s="212" t="n">
        <v>0</v>
      </c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n">
        <f aca="false">IF(AND(OR(A38="",A38="!!!!!!"),B38="",C38=""),"",IF(OR(AND(B38="",C38=""),ISERROR(C38+B38)),"!!!",($B38*$B$7+$C38*$C$7)/100))</f>
        <v>0.00900000013411045</v>
      </c>
      <c r="G38" s="216" t="str">
        <f aca="false">IF(A38="","",IF(ISERROR(VLOOKUP($A38,,9,0)),IF(ISERROR(VLOOKUP($A38,,8,0)),"    -",VLOOKUP($A38,,8,0)),VLOOKUP($A38,,9,0)))</f>
        <v>    -</v>
      </c>
      <c r="H38" s="217" t="str">
        <f aca="false">IF(A38="","x",IF(ISERROR(VLOOKUP($A38,,10,0)),IF(ISERROR(VLOOKUP($A38,,9,0)),"x",VLOOKUP($A38,,9,0)),VLOOKUP($A38,,10,0)))</f>
        <v>x</v>
      </c>
      <c r="I38" s="6" t="n">
        <f aca="false">IF(A38="","",1)</f>
        <v>1</v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>non répertorié ou synonyme. Vérifiez !</v>
      </c>
      <c r="M38" s="219"/>
      <c r="N38" s="219"/>
      <c r="O38" s="219"/>
      <c r="P38" s="220" t="s">
        <v>78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>PAASPX</v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 t="s">
        <v>93</v>
      </c>
      <c r="B39" s="211" t="n">
        <v>0.00999999977648258</v>
      </c>
      <c r="C39" s="212" t="n">
        <v>0.00999999977648258</v>
      </c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n">
        <f aca="false">IF(AND(OR(A39="",A39="!!!!!!"),B39="",C39=""),"",IF(OR(AND(B39="",C39=""),ISERROR(C39+B39)),"!!!",($B39*$B$7+$C39*$C$7)/100))</f>
        <v>0.00999999977648258</v>
      </c>
      <c r="G39" s="216" t="str">
        <f aca="false">IF(A39="","",IF(ISERROR(VLOOKUP($A39,,9,0)),IF(ISERROR(VLOOKUP($A39,,8,0)),"    -",VLOOKUP($A39,,8,0)),VLOOKUP($A39,,9,0)))</f>
        <v>    -</v>
      </c>
      <c r="H39" s="217" t="str">
        <f aca="false">IF(A39="","x",IF(ISERROR(VLOOKUP($A39,,10,0)),IF(ISERROR(VLOOKUP($A39,,9,0)),"x",VLOOKUP($A39,,9,0)),VLOOKUP($A39,,10,0)))</f>
        <v>x</v>
      </c>
      <c r="I39" s="6" t="n">
        <f aca="false">IF(A39="","",1)</f>
        <v>1</v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>non répertorié ou synonyme. Vérifiez !</v>
      </c>
      <c r="M39" s="219"/>
      <c r="N39" s="219"/>
      <c r="O39" s="219"/>
      <c r="P39" s="220" t="s">
        <v>78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>RORSYL</v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78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78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78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78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78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78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78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78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78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78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78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78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78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78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78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78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78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78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78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78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78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78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78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78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78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78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78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78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78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78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78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78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78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78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78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78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78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78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78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78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78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78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78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5.54540000133216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l'Allier</v>
      </c>
      <c r="B84" s="175" t="str">
        <f aca="false">C3</f>
        <v>ALLIER À BLASSAC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17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5.54540000133216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94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95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96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97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98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99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100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101</v>
      </c>
      <c r="S93" s="6"/>
      <c r="T93" s="207" t="str">
        <f aca="false">INDEX($A$23:$A$82,$T$92)</f>
        <v>VAUSPX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2024-04-24T21:33:49Z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