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85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'04028500'!$A$1:$O$82</definedName>
    <definedName function="false" hidden="false" localSheetId="0" name="Excel_BuiltIn__FilterDatabase" vbProcedure="false">'04028500'!$A$23:$J$84</definedName>
    <definedName function="false" hidden="false" localSheetId="0" name="NOM" vbProcedure="false">'04028500'!$H$1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<sst xmlns="http://schemas.openxmlformats.org/spreadsheetml/2006/main" count="102" uniqueCount="98">
  <si>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</si>
  <si>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</si>
  <si>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</si>
  <si>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Yann TRACOL</t>
  </si>
  <si>
    <t xml:space="preserve">conforme AFNOR T90-395 oct. 2003</t>
  </si>
  <si>
    <t xml:space="preserve">l'Alagnon</t>
  </si>
  <si>
    <t xml:space="preserve">ALAGNON à JOURSAC</t>
  </si>
  <si>
    <t xml:space="preserve">04028500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</si>
  <si>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</si>
  <si>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</si>
  <si>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</si>
  <si>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</si>
  <si>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</si>
  <si>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</si>
  <si>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</si>
  <si>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</si>
  <si>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</si>
  <si>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</si>
  <si>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</si>
  <si>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</si>
  <si>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</si>
  <si>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</si>
  <si>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</si>
  <si>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</si>
  <si>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</si>
  <si>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</si>
  <si>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</si>
  <si>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</si>
  <si>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</si>
  <si>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</si>
  <si>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</si>
  <si>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</si>
  <si>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</si>
  <si>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</si>
  <si>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</si>
  <si>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</si>
  <si>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</si>
  <si>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</si>
  <si>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</si>
  <si>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</si>
  <si>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</si>
  <si>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</si>
  <si>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</si>
  <si>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</si>
  <si>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</si>
  <si>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</si>
  <si>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</si>
  <si>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</si>
  <si>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</si>
  <si>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</si>
  <si>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</si>
  <si>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</si>
  <si>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</si>
  <si>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</si>
  <si>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</si>
  <si>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</si>
  <si>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</si>
  <si>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</si>
  <si>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(15,2733400594443 %)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</si>
  <si>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</si>
  <si>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</si>
  <si>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</si>
  <si>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</si>
  <si>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</si>
  <si>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</si>
  <si>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</si>
  <si>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</si>
  <si>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</si>
  <si>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</si>
  <si>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</si>
  <si>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</si>
  <si>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</si>
  <si>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</si>
  <si>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</si>
  <si>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</si>
  <si>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</si>
  <si>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</si>
  <si>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</si>
  <si>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AUDSPX</t>
  </si>
  <si>
    <t xml:space="preserve">LYSVUL</t>
  </si>
  <si>
    <t xml:space="preserve">MOOSPX</t>
  </si>
  <si>
    <t xml:space="preserve">FONANT</t>
  </si>
  <si>
    <t xml:space="preserve">HILSPX</t>
  </si>
  <si>
    <t xml:space="preserve">RHYRIP</t>
  </si>
  <si>
    <t xml:space="preserve">PHOSPX</t>
  </si>
  <si>
    <t xml:space="preserve">CLASPX</t>
  </si>
  <si>
    <t xml:space="preserve">MELSPX</t>
  </si>
  <si>
    <t xml:space="preserve">Newcod</t>
  </si>
  <si>
    <t xml:space="preserve">Gomphonema sp.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</si>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</sst>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1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1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1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2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2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41449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12.3571428571429</v>
      </c>
      <c r="M5" s="52"/>
      <c r="N5" s="53" t="s">
        <v>16</v>
      </c>
      <c r="O5" s="54" t="n">
        <v>11.6363636363636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/>
      <c r="D6" s="45"/>
      <c r="E6" s="45"/>
      <c r="F6" s="46"/>
      <c r="G6" s="47"/>
      <c r="H6" s="45"/>
      <c r="I6" s="57" t="s">
        <v>19</v>
      </c>
      <c r="J6" s="58"/>
      <c r="K6" s="59"/>
      <c r="L6" s="60" t="s">
        <v>20</v>
      </c>
      <c r="M6" s="61"/>
      <c r="N6" s="62" t="s">
        <v>21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22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23</v>
      </c>
      <c r="O7" s="76" t="s">
        <v>24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25</v>
      </c>
      <c r="B8" s="78"/>
      <c r="C8" s="78"/>
      <c r="D8" s="67"/>
      <c r="E8" s="67"/>
      <c r="F8" s="79" t="s">
        <v>26</v>
      </c>
      <c r="G8" s="80"/>
      <c r="H8" s="81"/>
      <c r="I8" s="70"/>
      <c r="J8" s="71"/>
      <c r="K8" s="72"/>
      <c r="L8" s="73"/>
      <c r="M8" s="82" t="s">
        <v>27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28</v>
      </c>
      <c r="B9" s="85" t="n">
        <v>15</v>
      </c>
      <c r="C9" s="86"/>
      <c r="D9" s="87"/>
      <c r="E9" s="87"/>
      <c r="F9" s="88" t="n">
        <f aca="false">($B9*$B$7+$C9*$C$7)/100</f>
        <v>15</v>
      </c>
      <c r="G9" s="89"/>
      <c r="H9" s="90"/>
      <c r="I9" s="91"/>
      <c r="J9" s="92"/>
      <c r="K9" s="72"/>
      <c r="L9" s="93"/>
      <c r="M9" s="82" t="s">
        <v>29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30</v>
      </c>
      <c r="B10" s="97"/>
      <c r="C10" s="98"/>
      <c r="D10" s="99"/>
      <c r="E10" s="99"/>
      <c r="F10" s="88"/>
      <c r="G10" s="89"/>
      <c r="H10" s="100"/>
      <c r="I10" s="101"/>
      <c r="J10" s="102" t="s">
        <v>31</v>
      </c>
      <c r="K10" s="102"/>
      <c r="L10" s="103"/>
      <c r="M10" s="104" t="s">
        <v>32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33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34</v>
      </c>
      <c r="J11" s="113"/>
      <c r="K11" s="114" t="n">
        <f aca="false">COUNTIF($G$23:$G$82,"=HET")</f>
        <v>0</v>
      </c>
      <c r="L11" s="115"/>
      <c r="M11" s="104" t="s">
        <v>35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36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37</v>
      </c>
      <c r="J12" s="120"/>
      <c r="K12" s="114" t="n">
        <f aca="false">COUNTIF($G$23:$G$82,"=ALG")</f>
        <v>0</v>
      </c>
      <c r="L12" s="121"/>
      <c r="M12" s="122"/>
      <c r="N12" s="123" t="s">
        <v>31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38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39</v>
      </c>
      <c r="J13" s="120"/>
      <c r="K13" s="114" t="n">
        <f aca="false">COUNTIF($G$23:$G$82,"=BRm")+COUNTIF($G$23:$G$82,"=BRh")</f>
        <v>0</v>
      </c>
      <c r="L13" s="115"/>
      <c r="M13" s="126" t="s">
        <v>40</v>
      </c>
      <c r="N13" s="127" t="n">
        <f aca="false">COUNTIF(F23:F82,"&gt;0")</f>
        <v>11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41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42</v>
      </c>
      <c r="J14" s="120"/>
      <c r="K14" s="114" t="n">
        <f aca="false">COUNTIF($G$23:$G$82,"=PTE")+COUNTIF($G$23:$G$82,"=LIC")</f>
        <v>0</v>
      </c>
      <c r="L14" s="115"/>
      <c r="M14" s="130" t="s">
        <v>43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44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45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46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47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48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49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50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51</v>
      </c>
      <c r="B18" s="144"/>
      <c r="C18" s="145"/>
      <c r="D18" s="110"/>
      <c r="E18" s="146" t="s">
        <v>52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53</v>
      </c>
      <c r="B20" s="164" t="n">
        <f aca="false">SUM(B23:B82)</f>
        <v>15.2733400594443</v>
      </c>
      <c r="C20" s="165" t="n">
        <f aca="false">SUM(C23:C82)</f>
        <v>0</v>
      </c>
      <c r="D20" s="166"/>
      <c r="E20" s="167" t="s">
        <v>52</v>
      </c>
      <c r="F20" s="168" t="n">
        <f aca="false">($B20*$B$7+$C20*$C$7)/100</f>
        <v>15.2733400594443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54</v>
      </c>
      <c r="R20" s="9"/>
      <c r="S20" s="9"/>
      <c r="T20" s="9"/>
      <c r="U20" s="9"/>
      <c r="V20" s="9"/>
      <c r="W20" s="149" t="s">
        <v>55</v>
      </c>
    </row>
    <row r="21" customFormat="false" ht="12.75" hidden="false" customHeight="false" outlineLevel="0" collapsed="false">
      <c r="A21" s="177" t="s">
        <v>56</v>
      </c>
      <c r="B21" s="178" t="n">
        <f aca="false">B20*B7/100</f>
        <v>15.2733400594443</v>
      </c>
      <c r="C21" s="178" t="n">
        <f aca="false">C20*C7/100</f>
        <v>0</v>
      </c>
      <c r="D21" s="110" t="str">
        <f aca="false">IF(F21=0,"",IF((ABS(F21-F19))&gt;(0.2*F21),CONCATENATE(" rec. par taxa (",F21," %) supérieur à 20 % !"),""))</f>
        <v> rec. par taxa (15,2733400594443 %)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15.2733400594443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57</v>
      </c>
      <c r="R21" s="9"/>
      <c r="S21" s="9"/>
      <c r="T21" s="9"/>
      <c r="U21" s="9"/>
      <c r="V21" s="9"/>
      <c r="W21" s="149" t="s">
        <v>58</v>
      </c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9" t="s">
        <v>73</v>
      </c>
      <c r="Z22" s="9" t="s">
        <v>74</v>
      </c>
      <c r="AA22" s="201" t="s">
        <v>75</v>
      </c>
      <c r="AB22" s="201" t="s">
        <v>76</v>
      </c>
      <c r="AC22" s="201" t="s">
        <v>77</v>
      </c>
    </row>
    <row r="23" customFormat="false" ht="12.75" hidden="false" customHeight="false" outlineLevel="0" collapsed="false">
      <c r="A23" s="202" t="s">
        <v>78</v>
      </c>
      <c r="B23" s="203" t="n">
        <v>0.00999999977648258</v>
      </c>
      <c r="C23" s="204" t="n">
        <v>0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0.00999999977648258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AUDSPX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79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LYSVUL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80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0.00999999977648258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MOOSPX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0.200000002980232</v>
      </c>
      <c r="C26" s="222" t="n">
        <v>0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0.200000002980232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FONANT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0.400000005960465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0.400000005960465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HILSPX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0.620000004768372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0.620000004768372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RHYRIP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0.810000002384186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0.810000002384186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PHOSPX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1.14286005496979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1.14286005496979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CLASPX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86</v>
      </c>
      <c r="B31" s="221" t="n">
        <v>1.88856995105743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1.88856995105743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MELSPX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87</v>
      </c>
      <c r="B32" s="221" t="n">
        <v>2.18191003799438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2.18191003799438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>No</v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Newcod</v>
      </c>
      <c r="Z32" s="9" t="str">
        <f aca="false">IF(ISERROR(MATCH(A32,,0)),IF(ISERROR(MATCH(A32,,0)),"",(MATCH(A32,,0))),(MATCH(A32,,0)))</f>
        <v/>
      </c>
      <c r="AA32" s="218"/>
      <c r="AB32" s="220" t="s">
        <v>88</v>
      </c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16</v>
      </c>
      <c r="B33" s="221" t="n">
        <v>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8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LEASPX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/>
      <c r="B34" s="221"/>
      <c r="C34" s="222"/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</v>
      </c>
      <c r="G34" s="208" t="str">
        <f aca="false">IF(A34="","",IF(ISERROR(VLOOKUP($A34,,13,0)),IF(ISERROR(VLOOKUP($A34,,12,0)),"    -",VLOOKUP($A34,,12,0)),VLOOKUP($A34,,13,0)))</f>
        <v/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/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/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str">
        <f aca="false">IF(A34="","",1)</f>
        <v/>
      </c>
    </row>
    <row r="35" customFormat="false" ht="12.75" hidden="false" customHeight="false" outlineLevel="0" collapsed="false">
      <c r="A35" s="220"/>
      <c r="B35" s="221"/>
      <c r="C35" s="222"/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</v>
      </c>
      <c r="G35" s="208" t="str">
        <f aca="false">IF(A35="","",IF(ISERROR(VLOOKUP($A35,,13,0)),IF(ISERROR(VLOOKUP($A35,,12,0)),"    -",VLOOKUP($A35,,12,0)),VLOOKUP($A35,,13,0)))</f>
        <v/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/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/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str">
        <f aca="false">IF(A35="","",1)</f>
        <v/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89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l'Alagnon</v>
      </c>
      <c r="B84" s="256" t="str">
        <f aca="false">C3</f>
        <v>ALAGNON à JOURSAC</v>
      </c>
      <c r="C84" s="257" t="n">
        <f aca="false">A4</f>
        <v>41449</v>
      </c>
      <c r="D84" s="258" t="str">
        <f aca="false">IF(ISERROR(SUM($T$23:$T$82)/SUM($U$23:$U$82)),"",SUM($T$23:$T$82)/SUM($U$23:$U$82))</f>
        <v/>
      </c>
      <c r="E84" s="259" t="n">
        <f aca="false">N13</f>
        <v>11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15.2733400594443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90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91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92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93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94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95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96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97</v>
      </c>
      <c r="R93" s="9"/>
      <c r="S93" s="215" t="str">
        <f aca="false">INDEX($A$23:$A$82,$S$92)</f>
        <v>AUDSPX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2">
    <cfRule type="expression" priority="28" aboveAverage="0" equalAverage="0" bottom="0" percent="0" rank="0" text="" dxfId="26">
      <formula>ISTEXT($E32)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