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llier_04031000" sheetId="1" state="visible" r:id="rId3"/>
  </sheets>
  <externalReferences>
    <externalReference r:id="rId4"/>
  </externalReferences>
  <definedNames>
    <definedName function="false" hidden="false" localSheetId="0" name="Excel_BuiltIn_Print_Area" vbProcedure="false">Allier_04031000!$A$1:$O$41</definedName>
    <definedName function="false" hidden="false" localSheetId="0" name="Excel_BuiltIn__FilterDatabase" vbProcedure="false">Allier_04031000!$A$23:$J$84</definedName>
    <definedName function="false" hidden="false" localSheetId="0" name="NOM" vbProcedure="false">Allier_04031000!$H$1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<sst xmlns="http://schemas.openxmlformats.org/spreadsheetml/2006/main" count="103" uniqueCount="98">
  <si>
    <t xml:space="preserve">Relevés floristiques aquatiques - IBMR</t>
  </si>
  <si>
    <t xml:space="preserve">Formulaire modèle GIS Macrophytes v_3.3 -mai 2012</t>
  </si>
  <si>
    <t xml:space="preserve">CARICAIE</t>
  </si>
  <si>
    <t xml:space="preserve">conforme AFNOR T90-395 oct. 2003</t>
  </si>
  <si>
    <t xml:space="preserve">ALLIER</t>
  </si>
  <si>
    <t xml:space="preserve">COURNON D'AUVERGNE</t>
  </si>
  <si>
    <t xml:space="preserve">04031000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</si>
  <si>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</si>
  <si>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</si>
  <si>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</si>
  <si>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</si>
  <si>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</si>
  <si>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</si>
  <si>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</si>
  <si>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</si>
  <si>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</si>
  <si>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</si>
  <si>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</si>
  <si>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</si>
  <si>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fort</t>
  </si>
  <si>
    <t xml:space="preserve">(fort)</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</si>
  <si>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</si>
  <si>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</si>
  <si>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</si>
  <si>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</si>
  <si>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</si>
  <si>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</si>
  <si>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</si>
  <si>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</si>
  <si>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</si>
  <si>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</si>
  <si>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</si>
  <si>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</si>
  <si>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</si>
  <si>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</si>
  <si>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</si>
  <si>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</si>
  <si>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</si>
  <si>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</si>
  <si>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</si>
  <si>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</si>
  <si>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</si>
  <si>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</si>
  <si>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</si>
  <si>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</si>
  <si>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</si>
  <si>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</si>
  <si>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</si>
  <si>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</si>
  <si>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</si>
  <si>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</si>
  <si>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</si>
  <si>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</si>
  <si>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</si>
  <si>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</si>
  <si>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</si>
  <si>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</si>
  <si>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</si>
  <si>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(1.29 %)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</si>
  <si>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</si>
  <si>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</si>
  <si>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</si>
  <si>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</si>
  <si>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</si>
  <si>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</si>
  <si>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</si>
  <si>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</si>
  <si>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</si>
  <si>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</si>
  <si>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</si>
  <si>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</si>
  <si>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</si>
  <si>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</si>
  <si>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</si>
  <si>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</si>
  <si>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</si>
  <si>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</si>
  <si>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</si>
  <si>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STISPX</t>
  </si>
  <si>
    <t xml:space="preserve">AMBRIP</t>
  </si>
  <si>
    <t xml:space="preserve">FONANT</t>
  </si>
  <si>
    <t xml:space="preserve">OCTFON</t>
  </si>
  <si>
    <t xml:space="preserve">MYRSPI</t>
  </si>
  <si>
    <t xml:space="preserve">RANPSE</t>
  </si>
  <si>
    <t xml:space="preserve">AGRSTO</t>
  </si>
  <si>
    <t xml:space="preserve">LUDPEP</t>
  </si>
  <si>
    <t xml:space="preserve">PHAARU</t>
  </si>
  <si>
    <t xml:space="preserve">RORAMP</t>
  </si>
  <si>
    <t xml:space="preserve">SALSPX</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</si>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</sst>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5" borderId="23" xfId="0" applyFont="true" applyBorder="true" applyAlignment="true" applyProtection="true">
      <alignment horizontal="left" vertical="top" textRotation="0" wrapText="false" indent="0" shrinkToFit="false"/>
      <protection locked="true" hidden="true"/>
    </xf>
    <xf numFmtId="167" fontId="14" fillId="5" borderId="24" xfId="0" applyFont="true" applyBorder="true" applyAlignment="true" applyProtection="true">
      <alignment horizontal="left" vertical="top" textRotation="0" wrapText="false" indent="0" shrinkToFit="false"/>
      <protection locked="true" hidden="true"/>
    </xf>
    <xf numFmtId="167" fontId="15" fillId="5" borderId="15" xfId="0" applyFont="true" applyBorder="true" applyAlignment="true" applyProtection="true">
      <alignment horizontal="left" vertical="top" textRotation="0" wrapText="false" indent="0" shrinkToFit="false"/>
      <protection locked="true" hidden="true"/>
    </xf>
    <xf numFmtId="167" fontId="0" fillId="5"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5" borderId="28" xfId="0" applyFont="true" applyBorder="true" applyAlignment="true" applyProtection="true">
      <alignment horizontal="left" vertical="bottom" textRotation="0" wrapText="false" indent="0" shrinkToFit="false"/>
      <protection locked="true" hidden="true"/>
    </xf>
    <xf numFmtId="164" fontId="8" fillId="5" borderId="29" xfId="0" applyFont="true" applyBorder="true" applyAlignment="true" applyProtection="true">
      <alignment horizontal="right" vertical="top" textRotation="0" wrapText="false" indent="0" shrinkToFit="false"/>
      <protection locked="true" hidden="true"/>
    </xf>
    <xf numFmtId="164" fontId="17" fillId="5"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0"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0" borderId="38" xfId="0" applyFont="true" applyBorder="true" applyAlignment="true" applyProtection="true">
      <alignment horizontal="center" vertical="bottom" textRotation="0" wrapText="false" indent="0" shrinkToFit="false"/>
      <protection locked="false" hidden="false"/>
    </xf>
    <xf numFmtId="167" fontId="0" fillId="10"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0" borderId="42" xfId="0" applyFont="true" applyBorder="true" applyAlignment="true" applyProtection="true">
      <alignment horizontal="center" vertical="bottom" textRotation="0" wrapText="false" indent="0" shrinkToFit="false"/>
      <protection locked="false" hidden="false"/>
    </xf>
    <xf numFmtId="167" fontId="0" fillId="10"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0" borderId="48" xfId="0" applyFont="true" applyBorder="true" applyAlignment="true" applyProtection="true">
      <alignment horizontal="center" vertical="bottom" textRotation="0" wrapText="false" indent="0" shrinkToFit="false"/>
      <protection locked="false" hidden="false"/>
    </xf>
    <xf numFmtId="167" fontId="0" fillId="10"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0" borderId="51" xfId="0" applyFont="true" applyBorder="true" applyAlignment="true" applyProtection="true">
      <alignment horizontal="center" vertical="bottom" textRotation="0" wrapText="false" indent="0" shrinkToFit="false"/>
      <protection locked="false" hidden="false"/>
    </xf>
    <xf numFmtId="167" fontId="0" fillId="10"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8" fontId="18"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28"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calculs_IBMR_2012_DREAL_AUVERGNE_RCS.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41102</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9</v>
      </c>
      <c r="M5" s="52"/>
      <c r="N5" s="53"/>
      <c r="O5" s="54" t="n">
        <v>8.625</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80</v>
      </c>
      <c r="C7" s="67" t="n">
        <v>20</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n">
        <f aca="false">AVERAGE(I23:I82)</f>
        <v>9.33333333333333</v>
      </c>
      <c r="O8" s="83" t="n">
        <f aca="false">AVERAGE(J23:J82)</f>
        <v>1.55555555555556</v>
      </c>
      <c r="P8" s="84"/>
      <c r="Q8" s="9"/>
      <c r="R8" s="9"/>
      <c r="S8" s="9"/>
      <c r="T8" s="9"/>
      <c r="U8" s="9"/>
      <c r="V8" s="9"/>
      <c r="W8" s="21"/>
      <c r="X8" s="22"/>
    </row>
    <row r="9" customFormat="false" ht="12.75" hidden="false" customHeight="false" outlineLevel="0" collapsed="false">
      <c r="A9" s="42" t="s">
        <v>27</v>
      </c>
      <c r="B9" s="85" t="n">
        <v>1.23</v>
      </c>
      <c r="C9" s="86" t="n">
        <v>1.53</v>
      </c>
      <c r="D9" s="87"/>
      <c r="E9" s="87"/>
      <c r="F9" s="88" t="n">
        <f aca="false">($B9*$B$7+$C9*$C$7)/100</f>
        <v>1.29</v>
      </c>
      <c r="G9" s="89"/>
      <c r="H9" s="90"/>
      <c r="I9" s="91"/>
      <c r="J9" s="92"/>
      <c r="K9" s="73"/>
      <c r="L9" s="93"/>
      <c r="M9" s="82" t="s">
        <v>28</v>
      </c>
      <c r="N9" s="83" t="n">
        <f aca="false">STDEV(I23:I82)</f>
        <v>2.44948974278318</v>
      </c>
      <c r="O9" s="83" t="n">
        <f aca="false">STDEV(J23:J82)</f>
        <v>0.726483157256779</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5</v>
      </c>
      <c r="O10" s="104" t="n">
        <f aca="false">MIN(J23:J82)</f>
        <v>1</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13</v>
      </c>
      <c r="O11" s="104" t="n">
        <f aca="false">MAX(J23:J82)</f>
        <v>3</v>
      </c>
      <c r="P11" s="105"/>
      <c r="Q11" s="9"/>
      <c r="R11" s="9"/>
      <c r="S11" s="9"/>
      <c r="T11" s="9"/>
      <c r="U11" s="9"/>
      <c r="V11" s="9"/>
    </row>
    <row r="12" customFormat="false" ht="12.75" hidden="false" customHeight="false" outlineLevel="0" collapsed="false">
      <c r="A12" s="115" t="s">
        <v>36</v>
      </c>
      <c r="B12" s="116" t="n">
        <v>0.02</v>
      </c>
      <c r="C12" s="117" t="n">
        <v>0</v>
      </c>
      <c r="D12" s="109"/>
      <c r="E12" s="109"/>
      <c r="F12" s="110" t="n">
        <f aca="false">($B12*$B$7+$C12*$C$7)/100</f>
        <v>0.016</v>
      </c>
      <c r="G12" s="118"/>
      <c r="H12" s="68"/>
      <c r="I12" s="119" t="s">
        <v>37</v>
      </c>
      <c r="J12" s="119"/>
      <c r="K12" s="113" t="n">
        <f aca="false">COUNTIF($G$23:$G$82,"=ALG")</f>
        <v>1</v>
      </c>
      <c r="L12" s="120"/>
      <c r="M12" s="121"/>
      <c r="N12" s="122" t="s">
        <v>31</v>
      </c>
      <c r="O12" s="123"/>
      <c r="P12" s="124"/>
      <c r="Q12" s="9"/>
      <c r="R12" s="9"/>
      <c r="S12" s="9"/>
      <c r="T12" s="9"/>
      <c r="U12" s="9"/>
      <c r="V12" s="9"/>
    </row>
    <row r="13" customFormat="false" ht="12.75" hidden="false" customHeight="false" outlineLevel="0" collapsed="false">
      <c r="A13" s="115" t="s">
        <v>38</v>
      </c>
      <c r="B13" s="116" t="n">
        <v>0.04</v>
      </c>
      <c r="C13" s="117" t="n">
        <v>0</v>
      </c>
      <c r="D13" s="109"/>
      <c r="E13" s="109"/>
      <c r="F13" s="110" t="n">
        <f aca="false">($B13*$B$7+$C13*$C$7)/100</f>
        <v>0.032</v>
      </c>
      <c r="G13" s="118"/>
      <c r="H13" s="68"/>
      <c r="I13" s="119" t="s">
        <v>39</v>
      </c>
      <c r="J13" s="119"/>
      <c r="K13" s="113" t="n">
        <f aca="false">COUNTIF($G$23:$G$82,"=BRm")+COUNTIF($G$23:$G$82,"=BRh")</f>
        <v>3</v>
      </c>
      <c r="L13" s="114"/>
      <c r="M13" s="125" t="s">
        <v>40</v>
      </c>
      <c r="N13" s="126" t="n">
        <f aca="false">COUNTIF(F23:F82,"&gt;0")</f>
        <v>11</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9</v>
      </c>
      <c r="O14" s="131"/>
      <c r="P14" s="128"/>
      <c r="Q14" s="9"/>
      <c r="R14" s="9"/>
      <c r="S14" s="9"/>
      <c r="T14" s="9"/>
      <c r="U14" s="9"/>
      <c r="V14" s="9"/>
    </row>
    <row r="15" customFormat="false" ht="12.75" hidden="false" customHeight="false" outlineLevel="0" collapsed="false">
      <c r="A15" s="132" t="s">
        <v>44</v>
      </c>
      <c r="B15" s="133" t="n">
        <v>1.17</v>
      </c>
      <c r="C15" s="134" t="n">
        <v>1.53</v>
      </c>
      <c r="D15" s="109"/>
      <c r="E15" s="109"/>
      <c r="F15" s="110" t="n">
        <f aca="false">($B15*$B$7+$C15*$C$7)/100</f>
        <v>1.242</v>
      </c>
      <c r="G15" s="118"/>
      <c r="H15" s="68"/>
      <c r="I15" s="119" t="s">
        <v>45</v>
      </c>
      <c r="J15" s="119"/>
      <c r="K15" s="113" t="n">
        <f aca="false">(COUNTIF($G$23:$G$82,"=PHy"))+(COUNTIF($G$23:$G$82,"=PHe"))+(COUNTIF($G$23:$G$82,"=PHg"))+(COUNTIF($G$23:$G$82,"=PHx"))</f>
        <v>6</v>
      </c>
      <c r="L15" s="114"/>
      <c r="M15" s="135" t="s">
        <v>46</v>
      </c>
      <c r="N15" s="136" t="n">
        <f aca="false">COUNTIF(J23:J82,"=1")</f>
        <v>5</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3</v>
      </c>
      <c r="O16" s="137"/>
      <c r="P16" s="128"/>
      <c r="Q16" s="9"/>
      <c r="R16" s="9"/>
      <c r="S16" s="9"/>
      <c r="T16" s="9"/>
      <c r="U16" s="9"/>
      <c r="V16" s="9"/>
    </row>
    <row r="17" customFormat="false" ht="12.75" hidden="false" customHeight="false" outlineLevel="0" collapsed="false">
      <c r="A17" s="115" t="s">
        <v>49</v>
      </c>
      <c r="B17" s="116" t="n">
        <v>1.06</v>
      </c>
      <c r="C17" s="117" t="n">
        <v>0</v>
      </c>
      <c r="D17" s="109"/>
      <c r="E17" s="109"/>
      <c r="F17" s="141" t="n">
        <f aca="false">($B17*$B$7+$C17*$C$7)/100</f>
        <v>0.848</v>
      </c>
      <c r="G17" s="110" t="n">
        <f aca="false">($B17*$B$7+$C17*$C$7)/100</f>
        <v>0.848</v>
      </c>
      <c r="H17" s="68"/>
      <c r="I17" s="119"/>
      <c r="J17" s="119"/>
      <c r="K17" s="140"/>
      <c r="L17" s="114"/>
      <c r="M17" s="135" t="s">
        <v>50</v>
      </c>
      <c r="N17" s="136" t="n">
        <f aca="false">COUNTIF(J23:J82,"=3")</f>
        <v>1</v>
      </c>
      <c r="O17" s="137"/>
      <c r="P17" s="128"/>
      <c r="Q17" s="9"/>
      <c r="R17" s="9"/>
      <c r="S17" s="9"/>
      <c r="T17" s="9"/>
      <c r="U17" s="9"/>
      <c r="V17" s="9"/>
    </row>
    <row r="18" customFormat="false" ht="12.75" hidden="false" customHeight="false" outlineLevel="0" collapsed="false">
      <c r="A18" s="142" t="s">
        <v>51</v>
      </c>
      <c r="B18" s="143" t="n">
        <v>0.17</v>
      </c>
      <c r="C18" s="144" t="n">
        <v>1.53</v>
      </c>
      <c r="D18" s="109"/>
      <c r="E18" s="145" t="s">
        <v>52</v>
      </c>
      <c r="F18" s="141" t="n">
        <f aca="false">($B18*$B$7+$C18*$C$7)/100</f>
        <v>0.442</v>
      </c>
      <c r="G18" s="110" t="n">
        <f aca="false">($B18*$B$7+$C18*$C$7)/100</f>
        <v>0.442</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1.29</v>
      </c>
      <c r="G19" s="154" t="n">
        <f aca="false">SUM(G16:G18)</f>
        <v>1.29</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1.23</v>
      </c>
      <c r="C20" s="164" t="n">
        <f aca="false">SUM(C23:C82)</f>
        <v>1.53</v>
      </c>
      <c r="D20" s="165"/>
      <c r="E20" s="166" t="s">
        <v>52</v>
      </c>
      <c r="F20" s="167" t="n">
        <f aca="false">($B20*$B$7+$C20*$C$7)/100</f>
        <v>1.29</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0.984</v>
      </c>
      <c r="C21" s="177" t="n">
        <f aca="false">C20*C7/100</f>
        <v>0.306</v>
      </c>
      <c r="D21" s="109" t="str">
        <f aca="false">IF(F21=0,"",IF((ABS(F21-F19))&gt;(0.2*F21),CONCATENATE(" rec. par taxa (",F21," %) supérieur à 20 % !"),""))</f>
        <v/>
      </c>
      <c r="E21" s="178" t="str">
        <f aca="false">IF(F21=0,"",IF((ABS(F21-F19))&gt;(0.2*F21),CONCATENATE("ATTENTION : écart entre rec. par grp (",F19," %) ","et",""),""))</f>
        <v/>
      </c>
      <c r="F21" s="179" t="n">
        <f aca="false">B21+C21</f>
        <v>1.29</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0.02</v>
      </c>
      <c r="C23" s="203"/>
      <c r="D23" s="204" t="str">
        <f aca="false">IF(ISERROR(VLOOKUP($A23,'[1]liste reference'!$A$7:$D$904,2,0)),IF(ISERROR(VLOOKUP($A23,'[1]liste reference'!$B$7:$D$904,1,0)),"",VLOOKUP($A23,'[1]liste reference'!$B$7:$D$904,1,0)),VLOOKUP($A23,'[1]liste reference'!$A$7:$D$904,2,0))</f>
        <v>Stigeoclonium sp.</v>
      </c>
      <c r="E23" s="204" t="e">
        <f aca="false">IF(D23="",0,VLOOKUP(D23,D$22:D22,1,0))</f>
        <v>#N/A</v>
      </c>
      <c r="F23" s="205" t="n">
        <f aca="false">($B23*$B$7+$C23*$C$7)/100</f>
        <v>0.016</v>
      </c>
      <c r="G23" s="206" t="str">
        <f aca="false">IF(A23="","",IF(ISERROR(VLOOKUP($A23,'[1]liste reference'!$A$7:$P$904,13,0)),IF(ISERROR(VLOOKUP($A23,'[1]liste reference'!$B$7:$P$904,12,0)),"    -",VLOOKUP($A23,'[1]liste reference'!$B$7:$P$904,12,0)),VLOOKUP($A23,'[1]liste reference'!$A$7:$P$904,13,0)))</f>
        <v>ALG</v>
      </c>
      <c r="H23" s="207" t="n">
        <f aca="false">IF(A23="","x",IF(ISERROR(VLOOKUP($A23,'[1]liste reference'!$A$7:$P$904,14,0)),IF(ISERROR(VLOOKUP($A23,'[1]liste reference'!$B$7:$P$904,13,0)),"x",VLOOKUP($A23,'[1]liste reference'!$B$7:$P$904,13,0)),VLOOKUP($A23,'[1]liste reference'!$A$7:$P$904,14,0)))</f>
        <v>2</v>
      </c>
      <c r="I23" s="208" t="n">
        <f aca="false">IF(ISNUMBER(H23),IF(ISERROR(VLOOKUP($A23,'[1]liste reference'!$A$7:$P$904,3,0)),IF(ISERROR(VLOOKUP($A23,'[1]liste reference'!$B$7:$P$904,2,0)),"",VLOOKUP($A23,'[1]liste reference'!$B$7:$P$904,2,0)),VLOOKUP($A23,'[1]liste reference'!$A$7:$P$904,3,0)),"")</f>
        <v>13</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Stigeoclonium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1119</v>
      </c>
      <c r="Q23" s="214" t="n">
        <f aca="false">IF(ISTEXT(H23),"",(B23*$B$7/100)+(C23*$C$7/100))</f>
        <v>0.016</v>
      </c>
      <c r="R23" s="215" t="n">
        <f aca="false">IF(OR(ISTEXT(H23),Q23=0),"",IF(Q23&lt;0.1,1,IF(Q23&lt;1,2,IF(Q23&lt;10,3,IF(Q23&lt;50,4,IF(Q23&gt;=50,5,""))))))</f>
        <v>1</v>
      </c>
      <c r="S23" s="215" t="n">
        <f aca="false">IF(ISERROR(R23*I23),0,R23*I23)</f>
        <v>13</v>
      </c>
      <c r="T23" s="215" t="n">
        <f aca="false">IF(ISERROR(R23*I23*J23),0,R23*I23*J23)</f>
        <v>26</v>
      </c>
      <c r="U23" s="215" t="n">
        <f aca="false">IF(ISERROR(R23*J23),0,R23*J23)</f>
        <v>2</v>
      </c>
      <c r="V23" s="216" t="n">
        <v>2</v>
      </c>
      <c r="W23" s="217"/>
      <c r="X23" s="217"/>
      <c r="Y23" s="215" t="str">
        <f aca="false">IF(A23="new.cod","NEWCOD",IF(AND((Z23=""),ISTEXT(A23)),A23,IF(Z23="","",INDEX('[1]liste reference'!$A$7:$A$904,Z23))))</f>
        <v>STISPX</v>
      </c>
      <c r="Z23" s="9" t="n">
        <f aca="false">IF(ISERROR(MATCH(A23,'[1]liste reference'!$A$7:$A$904,0)),IF(ISERROR(MATCH(A23,'[1]liste reference'!$B$7:$B$904,0)),"",(MATCH(A23,'[1]liste reference'!$B$7:$B$904,0))),(MATCH(A23,'[1]liste reference'!$A$7:$A$904,0)))</f>
        <v>72</v>
      </c>
      <c r="AA23" s="218"/>
      <c r="AB23" s="219"/>
      <c r="AC23" s="219"/>
      <c r="BC23" s="9" t="n">
        <f aca="false">IF(A23="","",1)</f>
        <v>1</v>
      </c>
    </row>
    <row r="24" customFormat="false" ht="12.75" hidden="false" customHeight="false" outlineLevel="0" collapsed="false">
      <c r="A24" s="201" t="s">
        <v>79</v>
      </c>
      <c r="B24" s="202" t="n">
        <v>0.02</v>
      </c>
      <c r="C24" s="203"/>
      <c r="D24" s="204" t="str">
        <f aca="false">IF(ISERROR(VLOOKUP($A24,'[1]liste reference'!$A$7:$D$904,2,0)),IF(ISERROR(VLOOKUP($A24,'[1]liste reference'!$B$7:$D$904,1,0)),"",VLOOKUP($A24,'[1]liste reference'!$B$7:$D$904,1,0)),VLOOKUP($A24,'[1]liste reference'!$A$7:$D$904,2,0))</f>
        <v>Amblystegium riparium</v>
      </c>
      <c r="E24" s="204" t="e">
        <f aca="false">IF(D24="",0,VLOOKUP(D24,D$22:D23,1,0))</f>
        <v>#N/A</v>
      </c>
      <c r="F24" s="205" t="n">
        <f aca="false">($B24*$B$7+$C24*$C$7)/100</f>
        <v>0.016</v>
      </c>
      <c r="G24" s="206" t="str">
        <f aca="false">IF(A24="","",IF(ISERROR(VLOOKUP($A24,'[1]liste reference'!$A$7:$P$904,13,0)),IF(ISERROR(VLOOKUP($A24,'[1]liste reference'!$B$7:$P$904,12,0)),"    -",VLOOKUP($A24,'[1]liste reference'!$B$7:$P$904,12,0)),VLOOKUP($A24,'[1]liste reference'!$A$7:$P$904,13,0)))</f>
        <v>BRm</v>
      </c>
      <c r="H24" s="207" t="n">
        <f aca="false">IF(A24="","x",IF(ISERROR(VLOOKUP($A24,'[1]liste reference'!$A$7:$P$904,14,0)),IF(ISERROR(VLOOKUP($A24,'[1]liste reference'!$B$7:$P$904,13,0)),"x",VLOOKUP($A24,'[1]liste reference'!$B$7:$P$904,13,0)),VLOOKUP($A24,'[1]liste reference'!$A$7:$P$904,14,0)))</f>
        <v>5</v>
      </c>
      <c r="I24" s="208" t="n">
        <f aca="false">IF(ISNUMBER(H24),IF(ISERROR(VLOOKUP($A24,'[1]liste reference'!$A$7:$P$904,3,0)),IF(ISERROR(VLOOKUP($A24,'[1]liste reference'!$B$7:$P$904,2,0)),"",VLOOKUP($A24,'[1]liste reference'!$B$7:$P$904,2,0)),VLOOKUP($A24,'[1]liste reference'!$A$7:$P$904,3,0)),"")</f>
        <v>5</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Amblystegium riparium</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1219</v>
      </c>
      <c r="Q24" s="214" t="n">
        <f aca="false">IF(ISTEXT(H24),"",(B24*$B$7/100)+(C24*$C$7/100))</f>
        <v>0.016</v>
      </c>
      <c r="R24" s="215" t="n">
        <f aca="false">IF(OR(ISTEXT(H24),Q24=0),"",IF(Q24&lt;0.1,1,IF(Q24&lt;1,2,IF(Q24&lt;10,3,IF(Q24&lt;50,4,IF(Q24&gt;=50,5,""))))))</f>
        <v>1</v>
      </c>
      <c r="S24" s="215" t="n">
        <f aca="false">IF(ISERROR(R24*I24),0,R24*I24)</f>
        <v>5</v>
      </c>
      <c r="T24" s="215" t="n">
        <f aca="false">IF(ISERROR(R24*I24*J24),0,R24*I24*J24)</f>
        <v>10</v>
      </c>
      <c r="U24" s="220" t="n">
        <f aca="false">IF(ISERROR(R24*J24),0,R24*J24)</f>
        <v>2</v>
      </c>
      <c r="V24" s="216" t="n">
        <v>2</v>
      </c>
      <c r="W24" s="217"/>
      <c r="Y24" s="215" t="str">
        <f aca="false">IF(A24="new.cod","NEWCOD",IF(AND((Z24=""),ISTEXT(A24)),A24,IF(Z24="","",INDEX('[1]liste reference'!$A$7:$A$904,Z24))))</f>
        <v>AMBRIP</v>
      </c>
      <c r="Z24" s="9" t="n">
        <f aca="false">IF(ISERROR(MATCH(A24,'[1]liste reference'!$A$7:$A$904,0)),IF(ISERROR(MATCH(A24,'[1]liste reference'!$B$7:$B$904,0)),"",(MATCH(A24,'[1]liste reference'!$B$7:$B$904,0))),(MATCH(A24,'[1]liste reference'!$A$7:$A$904,0)))</f>
        <v>149</v>
      </c>
      <c r="AA24" s="218"/>
      <c r="AB24" s="219"/>
      <c r="AC24" s="219"/>
      <c r="BC24" s="9" t="n">
        <f aca="false">IF(A24="","",1)</f>
        <v>1</v>
      </c>
    </row>
    <row r="25" customFormat="false" ht="12.75" hidden="false" customHeight="false" outlineLevel="0" collapsed="false">
      <c r="A25" s="201" t="s">
        <v>80</v>
      </c>
      <c r="B25" s="202" t="n">
        <v>0.01</v>
      </c>
      <c r="C25" s="203"/>
      <c r="D25" s="204" t="str">
        <f aca="false">IF(ISERROR(VLOOKUP($A25,'[1]liste reference'!$A$7:$D$904,2,0)),IF(ISERROR(VLOOKUP($A25,'[1]liste reference'!$B$7:$D$904,1,0)),"",VLOOKUP($A25,'[1]liste reference'!$B$7:$D$904,1,0)),VLOOKUP($A25,'[1]liste reference'!$A$7:$D$904,2,0))</f>
        <v>Fontinalis antipyretica</v>
      </c>
      <c r="E25" s="204" t="e">
        <f aca="false">IF(D25="",0,VLOOKUP(D25,D$22:D24,1,0))</f>
        <v>#N/A</v>
      </c>
      <c r="F25" s="205" t="n">
        <f aca="false">($B25*$B$7+$C25*$C$7)/100</f>
        <v>0.008</v>
      </c>
      <c r="G25" s="206" t="str">
        <f aca="false">IF(A25="","",IF(ISERROR(VLOOKUP($A25,'[1]liste reference'!$A$7:$P$904,13,0)),IF(ISERROR(VLOOKUP($A25,'[1]liste reference'!$B$7:$P$904,12,0)),"    -",VLOOKUP($A25,'[1]liste reference'!$B$7:$P$904,12,0)),VLOOKUP($A25,'[1]liste reference'!$A$7:$P$904,13,0)))</f>
        <v>BRm</v>
      </c>
      <c r="H25" s="207" t="n">
        <f aca="false">IF(A25="","x",IF(ISERROR(VLOOKUP($A25,'[1]liste reference'!$A$7:$P$904,14,0)),IF(ISERROR(VLOOKUP($A25,'[1]liste reference'!$B$7:$P$904,13,0)),"x",VLOOKUP($A25,'[1]liste reference'!$B$7:$P$904,13,0)),VLOOKUP($A25,'[1]liste reference'!$A$7:$P$904,14,0)))</f>
        <v>5</v>
      </c>
      <c r="I25" s="208" t="n">
        <f aca="false">IF(ISNUMBER(H25),IF(ISERROR(VLOOKUP($A25,'[1]liste reference'!$A$7:$P$904,3,0)),IF(ISERROR(VLOOKUP($A25,'[1]liste reference'!$B$7:$P$904,2,0)),"",VLOOKUP($A25,'[1]liste reference'!$B$7:$P$904,2,0)),VLOOKUP($A25,'[1]liste reference'!$A$7:$P$904,3,0)),"")</f>
        <v>10</v>
      </c>
      <c r="J25" s="209" t="n">
        <f aca="false">IF(ISNUMBER(H25),IF(ISERROR(VLOOKUP($A25,'[1]liste reference'!$A$7:$P$904,4,0)),IF(ISERROR(VLOOKUP($A25,'[1]liste reference'!$B$7:$P$904,3,0)),"",VLOOKUP($A25,'[1]liste reference'!$B$7:$P$904,3,0)),VLOOKUP($A25,'[1]liste reference'!$A$7:$P$904,4,0)),"")</f>
        <v>1</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Fontinalis antipyretica</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1310</v>
      </c>
      <c r="Q25" s="214" t="n">
        <f aca="false">IF(ISTEXT(H25),"",(B25*$B$7/100)+(C25*$C$7/100))</f>
        <v>0.008</v>
      </c>
      <c r="R25" s="215" t="n">
        <f aca="false">IF(OR(ISTEXT(H25),Q25=0),"",IF(Q25&lt;0.1,1,IF(Q25&lt;1,2,IF(Q25&lt;10,3,IF(Q25&lt;50,4,IF(Q25&gt;=50,5,""))))))</f>
        <v>1</v>
      </c>
      <c r="S25" s="215" t="n">
        <f aca="false">IF(ISERROR(R25*I25),0,R25*I25)</f>
        <v>10</v>
      </c>
      <c r="T25" s="215" t="n">
        <f aca="false">IF(ISERROR(R25*I25*J25),0,R25*I25*J25)</f>
        <v>10</v>
      </c>
      <c r="U25" s="220" t="n">
        <f aca="false">IF(ISERROR(R25*J25),0,R25*J25)</f>
        <v>1</v>
      </c>
      <c r="V25" s="216" t="n">
        <v>1</v>
      </c>
      <c r="W25" s="217"/>
      <c r="Y25" s="215" t="str">
        <f aca="false">IF(A25="new.cod","NEWCOD",IF(AND((Z25=""),ISTEXT(A25)),A25,IF(Z25="","",INDEX('[1]liste reference'!$A$7:$A$904,Z25))))</f>
        <v>FONANT</v>
      </c>
      <c r="Z25" s="9" t="n">
        <f aca="false">IF(ISERROR(MATCH(A25,'[1]liste reference'!$A$7:$A$904,0)),IF(ISERROR(MATCH(A25,'[1]liste reference'!$B$7:$B$904,0)),"",(MATCH(A25,'[1]liste reference'!$B$7:$B$904,0))),(MATCH(A25,'[1]liste reference'!$A$7:$A$904,0)))</f>
        <v>211</v>
      </c>
      <c r="AA25" s="218"/>
      <c r="AB25" s="219"/>
      <c r="AC25" s="219"/>
      <c r="BC25" s="9" t="n">
        <f aca="false">IF(A25="","",1)</f>
        <v>1</v>
      </c>
    </row>
    <row r="26" customFormat="false" ht="12.75" hidden="false" customHeight="false" outlineLevel="0" collapsed="false">
      <c r="A26" s="201" t="s">
        <v>81</v>
      </c>
      <c r="B26" s="202" t="n">
        <v>0.01</v>
      </c>
      <c r="C26" s="203"/>
      <c r="D26" s="204" t="str">
        <f aca="false">IF(ISERROR(VLOOKUP($A26,'[1]liste reference'!$A$7:$D$904,2,0)),IF(ISERROR(VLOOKUP($A26,'[1]liste reference'!$B$7:$D$904,1,0)),"",VLOOKUP($A26,'[1]liste reference'!$B$7:$D$904,1,0)),VLOOKUP($A26,'[1]liste reference'!$A$7:$D$904,2,0))</f>
        <v>Octodiceras fontanum</v>
      </c>
      <c r="E26" s="204" t="e">
        <f aca="false">IF(D26="",0,VLOOKUP(D26,D$22:D25,1,0))</f>
        <v>#N/A</v>
      </c>
      <c r="F26" s="205" t="n">
        <f aca="false">($B26*$B$7+$C26*$C$7)/100</f>
        <v>0.008</v>
      </c>
      <c r="G26" s="206" t="str">
        <f aca="false">IF(A26="","",IF(ISERROR(VLOOKUP($A26,'[1]liste reference'!$A$7:$P$904,13,0)),IF(ISERROR(VLOOKUP($A26,'[1]liste reference'!$B$7:$P$904,12,0)),"    -",VLOOKUP($A26,'[1]liste reference'!$B$7:$P$904,12,0)),VLOOKUP($A26,'[1]liste reference'!$A$7:$P$904,13,0)))</f>
        <v>BRm</v>
      </c>
      <c r="H26" s="207" t="n">
        <f aca="false">IF(A26="","x",IF(ISERROR(VLOOKUP($A26,'[1]liste reference'!$A$7:$P$904,14,0)),IF(ISERROR(VLOOKUP($A26,'[1]liste reference'!$B$7:$P$904,13,0)),"x",VLOOKUP($A26,'[1]liste reference'!$B$7:$P$904,13,0)),VLOOKUP($A26,'[1]liste reference'!$A$7:$P$904,14,0)))</f>
        <v>5</v>
      </c>
      <c r="I26" s="208" t="n">
        <f aca="false">IF(ISNUMBER(H26),IF(ISERROR(VLOOKUP($A26,'[1]liste reference'!$A$7:$P$904,3,0)),IF(ISERROR(VLOOKUP($A26,'[1]liste reference'!$B$7:$P$904,2,0)),"",VLOOKUP($A26,'[1]liste reference'!$B$7:$P$904,2,0)),VLOOKUP($A26,'[1]liste reference'!$A$7:$P$904,3,0)),"")</f>
        <v>7</v>
      </c>
      <c r="J26" s="209" t="n">
        <f aca="false">IF(ISNUMBER(H26),IF(ISERROR(VLOOKUP($A26,'[1]liste reference'!$A$7:$P$904,4,0)),IF(ISERROR(VLOOKUP($A26,'[1]liste reference'!$B$7:$P$904,3,0)),"",VLOOKUP($A26,'[1]liste reference'!$B$7:$P$904,3,0)),VLOOKUP($A26,'[1]liste reference'!$A$7:$P$904,4,0)),"")</f>
        <v>3</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Octodiceras fontanum</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1303</v>
      </c>
      <c r="Q26" s="214" t="n">
        <f aca="false">IF(ISTEXT(H26),"",(B26*$B$7/100)+(C26*$C$7/100))</f>
        <v>0.008</v>
      </c>
      <c r="R26" s="215" t="n">
        <f aca="false">IF(OR(ISTEXT(H26),Q26=0),"",IF(Q26&lt;0.1,1,IF(Q26&lt;1,2,IF(Q26&lt;10,3,IF(Q26&lt;50,4,IF(Q26&gt;=50,5,""))))))</f>
        <v>1</v>
      </c>
      <c r="S26" s="215" t="n">
        <f aca="false">IF(ISERROR(R26*I26),0,R26*I26)</f>
        <v>7</v>
      </c>
      <c r="T26" s="215" t="n">
        <f aca="false">IF(ISERROR(R26*I26*J26),0,R26*I26*J26)</f>
        <v>21</v>
      </c>
      <c r="U26" s="220" t="n">
        <f aca="false">IF(ISERROR(R26*J26),0,R26*J26)</f>
        <v>3</v>
      </c>
      <c r="V26" s="216" t="n">
        <v>3</v>
      </c>
      <c r="W26" s="217"/>
      <c r="Y26" s="215" t="str">
        <f aca="false">IF(A26="new.cod","NEWCOD",IF(AND((Z26=""),ISTEXT(A26)),A26,IF(Z26="","",INDEX('[1]liste reference'!$A$7:$A$904,Z26))))</f>
        <v>OCTFON</v>
      </c>
      <c r="Z26" s="9" t="n">
        <f aca="false">IF(ISERROR(MATCH(A26,'[1]liste reference'!$A$7:$A$904,0)),IF(ISERROR(MATCH(A26,'[1]liste reference'!$B$7:$B$904,0)),"",(MATCH(A26,'[1]liste reference'!$B$7:$B$904,0))),(MATCH(A26,'[1]liste reference'!$A$7:$A$904,0)))</f>
        <v>229</v>
      </c>
      <c r="AA26" s="218"/>
      <c r="AB26" s="219"/>
      <c r="AC26" s="219"/>
      <c r="BC26" s="9" t="n">
        <f aca="false">IF(A26="","",1)</f>
        <v>1</v>
      </c>
    </row>
    <row r="27" customFormat="false" ht="12.75" hidden="false" customHeight="false" outlineLevel="0" collapsed="false">
      <c r="A27" s="201" t="s">
        <v>82</v>
      </c>
      <c r="B27" s="202" t="n">
        <v>0.5</v>
      </c>
      <c r="C27" s="203"/>
      <c r="D27" s="204" t="str">
        <f aca="false">IF(ISERROR(VLOOKUP($A27,'[1]liste reference'!$A$7:$D$904,2,0)),IF(ISERROR(VLOOKUP($A27,'[1]liste reference'!$B$7:$D$904,1,0)),"",VLOOKUP($A27,'[1]liste reference'!$B$7:$D$904,1,0)),VLOOKUP($A27,'[1]liste reference'!$A$7:$D$904,2,0))</f>
        <v>Myriophyllum spicatum</v>
      </c>
      <c r="E27" s="204" t="e">
        <f aca="false">IF(D27="",0,VLOOKUP(D27,D$22:D26,1,0))</f>
        <v>#N/A</v>
      </c>
      <c r="F27" s="205" t="n">
        <f aca="false">($B27*$B$7+$C27*$C$7)/100</f>
        <v>0.4</v>
      </c>
      <c r="G27" s="206" t="str">
        <f aca="false">IF(A27="","",IF(ISERROR(VLOOKUP($A27,'[1]liste reference'!$A$7:$P$904,13,0)),IF(ISERROR(VLOOKUP($A27,'[1]liste reference'!$B$7:$P$904,12,0)),"    -",VLOOKUP($A27,'[1]liste reference'!$B$7:$P$904,12,0)),VLOOKUP($A27,'[1]liste reference'!$A$7:$P$904,13,0)))</f>
        <v>PHy</v>
      </c>
      <c r="H27" s="207" t="n">
        <f aca="false">IF(A27="","x",IF(ISERROR(VLOOKUP($A27,'[1]liste reference'!$A$7:$P$904,14,0)),IF(ISERROR(VLOOKUP($A27,'[1]liste reference'!$B$7:$P$904,13,0)),"x",VLOOKUP($A27,'[1]liste reference'!$B$7:$P$904,13,0)),VLOOKUP($A27,'[1]liste reference'!$A$7:$P$904,14,0)))</f>
        <v>7</v>
      </c>
      <c r="I27" s="208" t="n">
        <f aca="false">IF(ISNUMBER(H27),IF(ISERROR(VLOOKUP($A27,'[1]liste reference'!$A$7:$P$904,3,0)),IF(ISERROR(VLOOKUP($A27,'[1]liste reference'!$B$7:$P$904,2,0)),"",VLOOKUP($A27,'[1]liste reference'!$B$7:$P$904,2,0)),VLOOKUP($A27,'[1]liste reference'!$A$7:$P$904,3,0)),"")</f>
        <v>8</v>
      </c>
      <c r="J27" s="209" t="n">
        <f aca="false">IF(ISNUMBER(H27),IF(ISERROR(VLOOKUP($A27,'[1]liste reference'!$A$7:$P$904,4,0)),IF(ISERROR(VLOOKUP($A27,'[1]liste reference'!$B$7:$P$904,3,0)),"",VLOOKUP($A27,'[1]liste reference'!$B$7:$P$904,3,0)),VLOOKUP($A27,'[1]liste reference'!$A$7:$P$904,4,0)),"")</f>
        <v>2</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Myriophyllum spicatum</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1778</v>
      </c>
      <c r="Q27" s="214" t="n">
        <f aca="false">IF(ISTEXT(H27),"",(B27*$B$7/100)+(C27*$C$7/100))</f>
        <v>0.4</v>
      </c>
      <c r="R27" s="215" t="n">
        <f aca="false">IF(OR(ISTEXT(H27),Q27=0),"",IF(Q27&lt;0.1,1,IF(Q27&lt;1,2,IF(Q27&lt;10,3,IF(Q27&lt;50,4,IF(Q27&gt;=50,5,""))))))</f>
        <v>2</v>
      </c>
      <c r="S27" s="215" t="n">
        <f aca="false">IF(ISERROR(R27*I27),0,R27*I27)</f>
        <v>16</v>
      </c>
      <c r="T27" s="215" t="n">
        <f aca="false">IF(ISERROR(R27*I27*J27),0,R27*I27*J27)</f>
        <v>32</v>
      </c>
      <c r="U27" s="220" t="n">
        <f aca="false">IF(ISERROR(R27*J27),0,R27*J27)</f>
        <v>4</v>
      </c>
      <c r="V27" s="216" t="n">
        <v>4</v>
      </c>
      <c r="W27" s="217"/>
      <c r="Y27" s="215" t="str">
        <f aca="false">IF(A27="new.cod","NEWCOD",IF(AND((Z27=""),ISTEXT(A27)),A27,IF(Z27="","",INDEX('[1]liste reference'!$A$7:$A$904,Z27))))</f>
        <v>MYRSPI</v>
      </c>
      <c r="Z27" s="9" t="n">
        <f aca="false">IF(ISERROR(MATCH(A27,'[1]liste reference'!$A$7:$A$904,0)),IF(ISERROR(MATCH(A27,'[1]liste reference'!$B$7:$B$904,0)),"",(MATCH(A27,'[1]liste reference'!$B$7:$B$904,0))),(MATCH(A27,'[1]liste reference'!$A$7:$A$904,0)))</f>
        <v>377</v>
      </c>
      <c r="AA27" s="218"/>
      <c r="AB27" s="219"/>
      <c r="AC27" s="219"/>
      <c r="BC27" s="9" t="n">
        <f aca="false">IF(A27="","",1)</f>
        <v>1</v>
      </c>
    </row>
    <row r="28" customFormat="false" ht="12.75" hidden="false" customHeight="false" outlineLevel="0" collapsed="false">
      <c r="A28" s="201" t="s">
        <v>83</v>
      </c>
      <c r="B28" s="202" t="n">
        <v>0.5</v>
      </c>
      <c r="C28" s="203"/>
      <c r="D28" s="204" t="str">
        <f aca="false">IF(ISERROR(VLOOKUP($A28,'[1]liste reference'!$A$7:$D$904,2,0)),IF(ISERROR(VLOOKUP($A28,'[1]liste reference'!$B$7:$D$904,1,0)),"",VLOOKUP($A28,'[1]liste reference'!$B$7:$D$904,1,0)),VLOOKUP($A28,'[1]liste reference'!$A$7:$D$904,2,0))</f>
        <v>Ranunculus penicillatus var. penicillatus</v>
      </c>
      <c r="E28" s="204" t="e">
        <f aca="false">IF(D28="",0,VLOOKUP(D28,D$22:D27,1,0))</f>
        <v>#N/A</v>
      </c>
      <c r="F28" s="205" t="n">
        <f aca="false">($B28*$B$7+$C28*$C$7)/100</f>
        <v>0.4</v>
      </c>
      <c r="G28" s="206" t="str">
        <f aca="false">IF(A28="","",IF(ISERROR(VLOOKUP($A28,'[1]liste reference'!$A$7:$P$904,13,0)),IF(ISERROR(VLOOKUP($A28,'[1]liste reference'!$B$7:$P$904,12,0)),"    -",VLOOKUP($A28,'[1]liste reference'!$B$7:$P$904,12,0)),VLOOKUP($A28,'[1]liste reference'!$A$7:$P$904,13,0)))</f>
        <v>PHy</v>
      </c>
      <c r="H28" s="207" t="n">
        <f aca="false">IF(A28="","x",IF(ISERROR(VLOOKUP($A28,'[1]liste reference'!$A$7:$P$904,14,0)),IF(ISERROR(VLOOKUP($A28,'[1]liste reference'!$B$7:$P$904,13,0)),"x",VLOOKUP($A28,'[1]liste reference'!$B$7:$P$904,13,0)),VLOOKUP($A28,'[1]liste reference'!$A$7:$P$904,14,0)))</f>
        <v>7</v>
      </c>
      <c r="I28" s="208" t="n">
        <f aca="false">IF(ISNUMBER(H28),IF(ISERROR(VLOOKUP($A28,'[1]liste reference'!$A$7:$P$904,3,0)),IF(ISERROR(VLOOKUP($A28,'[1]liste reference'!$B$7:$P$904,2,0)),"",VLOOKUP($A28,'[1]liste reference'!$B$7:$P$904,2,0)),VLOOKUP($A28,'[1]liste reference'!$A$7:$P$904,3,0)),"")</f>
        <v>12</v>
      </c>
      <c r="J28" s="209" t="n">
        <f aca="false">IF(ISNUMBER(H28),IF(ISERROR(VLOOKUP($A28,'[1]liste reference'!$A$7:$P$904,4,0)),IF(ISERROR(VLOOKUP($A28,'[1]liste reference'!$B$7:$P$904,3,0)),"",VLOOKUP($A28,'[1]liste reference'!$B$7:$P$904,3,0)),VLOOKUP($A28,'[1]liste reference'!$A$7:$P$904,4,0)),"")</f>
        <v>1</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Ranunculus penicillatus var. penicillatus</v>
      </c>
      <c r="L28" s="211"/>
      <c r="M28" s="211"/>
      <c r="N28" s="211"/>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19974</v>
      </c>
      <c r="Q28" s="214" t="n">
        <f aca="false">IF(ISTEXT(H28),"",(B28*$B$7/100)+(C28*$C$7/100))</f>
        <v>0.4</v>
      </c>
      <c r="R28" s="215" t="n">
        <f aca="false">IF(OR(ISTEXT(H28),Q28=0),"",IF(Q28&lt;0.1,1,IF(Q28&lt;1,2,IF(Q28&lt;10,3,IF(Q28&lt;50,4,IF(Q28&gt;=50,5,""))))))</f>
        <v>2</v>
      </c>
      <c r="S28" s="215" t="n">
        <f aca="false">IF(ISERROR(R28*I28),0,R28*I28)</f>
        <v>24</v>
      </c>
      <c r="T28" s="215" t="n">
        <f aca="false">IF(ISERROR(R28*I28*J28),0,R28*I28*J28)</f>
        <v>24</v>
      </c>
      <c r="U28" s="220" t="n">
        <f aca="false">IF(ISERROR(R28*J28),0,R28*J28)</f>
        <v>2</v>
      </c>
      <c r="V28" s="216" t="n">
        <v>2</v>
      </c>
      <c r="W28" s="217"/>
      <c r="Y28" s="215" t="str">
        <f aca="false">IF(A28="new.cod","NEWCOD",IF(AND((Z28=""),ISTEXT(A28)),A28,IF(Z28="","",INDEX('[1]liste reference'!$A$7:$A$904,Z28))))</f>
        <v>RANPSE</v>
      </c>
      <c r="Z28" s="9" t="n">
        <f aca="false">IF(ISERROR(MATCH(A28,'[1]liste reference'!$A$7:$A$904,0)),IF(ISERROR(MATCH(A28,'[1]liste reference'!$B$7:$B$904,0)),"",(MATCH(A28,'[1]liste reference'!$B$7:$B$904,0))),(MATCH(A28,'[1]liste reference'!$A$7:$A$904,0)))</f>
        <v>468</v>
      </c>
      <c r="AA28" s="218"/>
      <c r="AB28" s="219"/>
      <c r="AC28" s="219"/>
      <c r="BC28" s="9" t="n">
        <f aca="false">IF(A28="","",1)</f>
        <v>1</v>
      </c>
    </row>
    <row r="29" customFormat="false" ht="12.75" hidden="false" customHeight="false" outlineLevel="0" collapsed="false">
      <c r="A29" s="201" t="s">
        <v>84</v>
      </c>
      <c r="B29" s="202" t="n">
        <v>0.02</v>
      </c>
      <c r="C29" s="203"/>
      <c r="D29" s="204" t="str">
        <f aca="false">IF(ISERROR(VLOOKUP($A29,'[1]liste reference'!$A$7:$D$904,2,0)),IF(ISERROR(VLOOKUP($A29,'[1]liste reference'!$B$7:$D$904,1,0)),"",VLOOKUP($A29,'[1]liste reference'!$B$7:$D$904,1,0)),VLOOKUP($A29,'[1]liste reference'!$A$7:$D$904,2,0))</f>
        <v>Agrostis stolonifera</v>
      </c>
      <c r="E29" s="204" t="e">
        <f aca="false">IF(D29="",0,VLOOKUP(D29,D$22:D28,1,0))</f>
        <v>#N/A</v>
      </c>
      <c r="F29" s="205" t="n">
        <f aca="false">($B29*$B$7+$C29*$C$7)/100</f>
        <v>0.016</v>
      </c>
      <c r="G29" s="206" t="str">
        <f aca="false">IF(A29="","",IF(ISERROR(VLOOKUP($A29,'[1]liste reference'!$A$7:$P$904,13,0)),IF(ISERROR(VLOOKUP($A29,'[1]liste reference'!$B$7:$P$904,12,0)),"    -",VLOOKUP($A29,'[1]liste reference'!$B$7:$P$904,12,0)),VLOOKUP($A29,'[1]liste reference'!$A$7:$P$904,13,0)))</f>
        <v>PHe</v>
      </c>
      <c r="H29" s="207" t="n">
        <f aca="false">IF(A29="","x",IF(ISERROR(VLOOKUP($A29,'[1]liste reference'!$A$7:$P$904,14,0)),IF(ISERROR(VLOOKUP($A29,'[1]liste reference'!$B$7:$P$904,13,0)),"x",VLOOKUP($A29,'[1]liste reference'!$B$7:$P$904,13,0)),VLOOKUP($A29,'[1]liste reference'!$A$7:$P$904,14,0)))</f>
        <v>8</v>
      </c>
      <c r="I29" s="208" t="n">
        <f aca="false">IF(ISNUMBER(H29),IF(ISERROR(VLOOKUP($A29,'[1]liste reference'!$A$7:$P$904,3,0)),IF(ISERROR(VLOOKUP($A29,'[1]liste reference'!$B$7:$P$904,2,0)),"",VLOOKUP($A29,'[1]liste reference'!$B$7:$P$904,2,0)),VLOOKUP($A29,'[1]liste reference'!$A$7:$P$904,3,0)),"")</f>
        <v>10</v>
      </c>
      <c r="J29" s="209" t="n">
        <f aca="false">IF(ISNUMBER(H29),IF(ISERROR(VLOOKUP($A29,'[1]liste reference'!$A$7:$P$904,4,0)),IF(ISERROR(VLOOKUP($A29,'[1]liste reference'!$B$7:$P$904,3,0)),"",VLOOKUP($A29,'[1]liste reference'!$B$7:$P$904,3,0)),VLOOKUP($A29,'[1]liste reference'!$A$7:$P$904,4,0)),"")</f>
        <v>1</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Agrostis stolonifera</v>
      </c>
      <c r="L29" s="211"/>
      <c r="M29" s="211"/>
      <c r="N29" s="211"/>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1543</v>
      </c>
      <c r="Q29" s="214" t="n">
        <f aca="false">IF(ISTEXT(H29),"",(B29*$B$7/100)+(C29*$C$7/100))</f>
        <v>0.016</v>
      </c>
      <c r="R29" s="215" t="n">
        <f aca="false">IF(OR(ISTEXT(H29),Q29=0),"",IF(Q29&lt;0.1,1,IF(Q29&lt;1,2,IF(Q29&lt;10,3,IF(Q29&lt;50,4,IF(Q29&gt;=50,5,""))))))</f>
        <v>1</v>
      </c>
      <c r="S29" s="215" t="n">
        <f aca="false">IF(ISERROR(R29*I29),0,R29*I29)</f>
        <v>10</v>
      </c>
      <c r="T29" s="215" t="n">
        <f aca="false">IF(ISERROR(R29*I29*J29),0,R29*I29*J29)</f>
        <v>10</v>
      </c>
      <c r="U29" s="220" t="n">
        <f aca="false">IF(ISERROR(R29*J29),0,R29*J29)</f>
        <v>1</v>
      </c>
      <c r="V29" s="216" t="n">
        <v>1</v>
      </c>
      <c r="W29" s="217"/>
      <c r="Y29" s="215" t="str">
        <f aca="false">IF(A29="new.cod","NEWCOD",IF(AND((Z29=""),ISTEXT(A29)),A29,IF(Z29="","",INDEX('[1]liste reference'!$A$7:$A$904,Z29))))</f>
        <v>AGRSTO</v>
      </c>
      <c r="Z29" s="9" t="n">
        <f aca="false">IF(ISERROR(MATCH(A29,'[1]liste reference'!$A$7:$A$904,0)),IF(ISERROR(MATCH(A29,'[1]liste reference'!$B$7:$B$904,0)),"",(MATCH(A29,'[1]liste reference'!$B$7:$B$904,0))),(MATCH(A29,'[1]liste reference'!$A$7:$A$904,0)))</f>
        <v>520</v>
      </c>
      <c r="AA29" s="218"/>
      <c r="AB29" s="219"/>
      <c r="AC29" s="219"/>
      <c r="BC29" s="9" t="n">
        <f aca="false">IF(A29="","",1)</f>
        <v>1</v>
      </c>
    </row>
    <row r="30" customFormat="false" ht="12.75" hidden="false" customHeight="false" outlineLevel="0" collapsed="false">
      <c r="A30" s="201" t="s">
        <v>85</v>
      </c>
      <c r="B30" s="202"/>
      <c r="C30" s="203" t="n">
        <v>1.5</v>
      </c>
      <c r="D30" s="204" t="str">
        <f aca="false">IF(ISERROR(VLOOKUP($A30,'[1]liste reference'!$A$7:$D$904,2,0)),IF(ISERROR(VLOOKUP($A30,'[1]liste reference'!$B$7:$D$904,1,0)),"",VLOOKUP($A30,'[1]liste reference'!$B$7:$D$904,1,0)),VLOOKUP($A30,'[1]liste reference'!$A$7:$D$904,2,0))</f>
        <v>Ludwigia peploides</v>
      </c>
      <c r="E30" s="204" t="e">
        <f aca="false">IF(D30="",0,VLOOKUP(D30,D$22:D29,1,0))</f>
        <v>#N/A</v>
      </c>
      <c r="F30" s="205" t="n">
        <f aca="false">($B30*$B$7+$C30*$C$7)/100</f>
        <v>0.3</v>
      </c>
      <c r="G30" s="206" t="str">
        <f aca="false">IF(A30="","",IF(ISERROR(VLOOKUP($A30,'[1]liste reference'!$A$7:$P$904,13,0)),IF(ISERROR(VLOOKUP($A30,'[1]liste reference'!$B$7:$P$904,12,0)),"    -",VLOOKUP($A30,'[1]liste reference'!$B$7:$P$904,12,0)),VLOOKUP($A30,'[1]liste reference'!$A$7:$P$904,13,0)))</f>
        <v>PHe</v>
      </c>
      <c r="H30" s="207" t="n">
        <f aca="false">IF(A30="","x",IF(ISERROR(VLOOKUP($A30,'[1]liste reference'!$A$7:$P$904,14,0)),IF(ISERROR(VLOOKUP($A30,'[1]liste reference'!$B$7:$P$904,13,0)),"x",VLOOKUP($A30,'[1]liste reference'!$B$7:$P$904,13,0)),VLOOKUP($A30,'[1]liste reference'!$A$7:$P$904,14,0)))</f>
        <v>8</v>
      </c>
      <c r="I30" s="208"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Ludwigia peploides</v>
      </c>
      <c r="L30" s="211"/>
      <c r="M30" s="211"/>
      <c r="N30" s="211"/>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1856</v>
      </c>
      <c r="Q30" s="214" t="n">
        <f aca="false">IF(ISTEXT(H30),"",(B30*$B$7/100)+(C30*$C$7/100))</f>
        <v>0.3</v>
      </c>
      <c r="R30" s="215" t="n">
        <f aca="false">IF(OR(ISTEXT(H30),Q30=0),"",IF(Q30&lt;0.1,1,IF(Q30&lt;1,2,IF(Q30&lt;10,3,IF(Q30&lt;50,4,IF(Q30&gt;=50,5,""))))))</f>
        <v>2</v>
      </c>
      <c r="S30" s="215" t="n">
        <f aca="false">IF(ISERROR(R30*I30),0,R30*I30)</f>
        <v>0</v>
      </c>
      <c r="T30" s="215" t="n">
        <f aca="false">IF(ISERROR(R30*I30*J30),0,R30*I30*J30)</f>
        <v>0</v>
      </c>
      <c r="U30" s="220" t="n">
        <f aca="false">IF(ISERROR(R30*J30),0,R30*J30)</f>
        <v>0</v>
      </c>
      <c r="V30" s="216" t="n">
        <v>0</v>
      </c>
      <c r="W30" s="217"/>
      <c r="Y30" s="215" t="str">
        <f aca="false">IF(A30="new.cod","NEWCOD",IF(AND((Z30=""),ISTEXT(A30)),A30,IF(Z30="","",INDEX('[1]liste reference'!$A$7:$A$904,Z30))))</f>
        <v>LUDPEP</v>
      </c>
      <c r="Z30" s="9" t="n">
        <f aca="false">IF(ISERROR(MATCH(A30,'[1]liste reference'!$A$7:$A$904,0)),IF(ISERROR(MATCH(A30,'[1]liste reference'!$B$7:$B$904,0)),"",(MATCH(A30,'[1]liste reference'!$B$7:$B$904,0))),(MATCH(A30,'[1]liste reference'!$A$7:$A$904,0)))</f>
        <v>600</v>
      </c>
      <c r="AA30" s="218"/>
      <c r="AB30" s="219"/>
      <c r="AC30" s="219"/>
      <c r="BC30" s="9" t="n">
        <f aca="false">IF(A30="","",1)</f>
        <v>1</v>
      </c>
    </row>
    <row r="31" customFormat="false" ht="12.75" hidden="false" customHeight="false" outlineLevel="0" collapsed="false">
      <c r="A31" s="201" t="s">
        <v>86</v>
      </c>
      <c r="B31" s="202" t="n">
        <v>0.15</v>
      </c>
      <c r="C31" s="203"/>
      <c r="D31" s="204" t="str">
        <f aca="false">IF(ISERROR(VLOOKUP($A31,'[1]liste reference'!$A$7:$D$904,2,0)),IF(ISERROR(VLOOKUP($A31,'[1]liste reference'!$B$7:$D$904,1,0)),"",VLOOKUP($A31,'[1]liste reference'!$B$7:$D$904,1,0)),VLOOKUP($A31,'[1]liste reference'!$A$7:$D$904,2,0))</f>
        <v>Phalaris arundinacea</v>
      </c>
      <c r="E31" s="204" t="e">
        <f aca="false">IF(D31="",0,VLOOKUP(D31,D$22:D30,1,0))</f>
        <v>#N/A</v>
      </c>
      <c r="F31" s="205" t="n">
        <f aca="false">($B31*$B$7+$C31*$C$7)/100</f>
        <v>0.12</v>
      </c>
      <c r="G31" s="206" t="str">
        <f aca="false">IF(A31="","",IF(ISERROR(VLOOKUP($A31,'[1]liste reference'!$A$7:$P$904,13,0)),IF(ISERROR(VLOOKUP($A31,'[1]liste reference'!$B$7:$P$904,12,0)),"    -",VLOOKUP($A31,'[1]liste reference'!$B$7:$P$904,12,0)),VLOOKUP($A31,'[1]liste reference'!$A$7:$P$904,13,0)))</f>
        <v>PHe</v>
      </c>
      <c r="H31" s="207" t="n">
        <f aca="false">IF(A31="","x",IF(ISERROR(VLOOKUP($A31,'[1]liste reference'!$A$7:$P$904,14,0)),IF(ISERROR(VLOOKUP($A31,'[1]liste reference'!$B$7:$P$904,13,0)),"x",VLOOKUP($A31,'[1]liste reference'!$B$7:$P$904,13,0)),VLOOKUP($A31,'[1]liste reference'!$A$7:$P$904,14,0)))</f>
        <v>8</v>
      </c>
      <c r="I31" s="208" t="n">
        <f aca="false">IF(ISNUMBER(H31),IF(ISERROR(VLOOKUP($A31,'[1]liste reference'!$A$7:$P$904,3,0)),IF(ISERROR(VLOOKUP($A31,'[1]liste reference'!$B$7:$P$904,2,0)),"",VLOOKUP($A31,'[1]liste reference'!$B$7:$P$904,2,0)),VLOOKUP($A31,'[1]liste reference'!$A$7:$P$904,3,0)),"")</f>
        <v>10</v>
      </c>
      <c r="J31" s="209" t="n">
        <f aca="false">IF(ISNUMBER(H31),IF(ISERROR(VLOOKUP($A31,'[1]liste reference'!$A$7:$P$904,4,0)),IF(ISERROR(VLOOKUP($A31,'[1]liste reference'!$B$7:$P$904,3,0)),"",VLOOKUP($A31,'[1]liste reference'!$B$7:$P$904,3,0)),VLOOKUP($A31,'[1]liste reference'!$A$7:$P$904,4,0)),"")</f>
        <v>1</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Phalaris arundinacea</v>
      </c>
      <c r="L31" s="211"/>
      <c r="M31" s="211"/>
      <c r="N31" s="211"/>
      <c r="O31" s="212"/>
      <c r="P31" s="213" t="n">
        <f aca="false">IF($A31="NEWCOD",IF($AC31="","No",$AC31),IF(ISTEXT($E31),"DEJA SAISI !",IF($A31="","",IF(ISERROR(VLOOKUP($A31,'[1]liste reference'!A$1:S$1048576,19,FALSE())),IF(ISERROR(VLOOKUP($A31,'[1]liste reference'!B$1:S$1048576,19,FALSE())),"",VLOOKUP($A31,'[1]liste reference'!B$1:S$1048576,19,FALSE())),VLOOKUP($A31,'[1]liste reference'!A$1:S$1048576,19,FALSE())))))</f>
        <v>1577</v>
      </c>
      <c r="Q31" s="214" t="n">
        <f aca="false">IF(ISTEXT(H31),"",(B31*$B$7/100)+(C31*$C$7/100))</f>
        <v>0.12</v>
      </c>
      <c r="R31" s="215" t="n">
        <f aca="false">IF(OR(ISTEXT(H31),Q31=0),"",IF(Q31&lt;0.1,1,IF(Q31&lt;1,2,IF(Q31&lt;10,3,IF(Q31&lt;50,4,IF(Q31&gt;=50,5,""))))))</f>
        <v>2</v>
      </c>
      <c r="S31" s="215" t="n">
        <f aca="false">IF(ISERROR(R31*I31),0,R31*I31)</f>
        <v>20</v>
      </c>
      <c r="T31" s="215" t="n">
        <f aca="false">IF(ISERROR(R31*I31*J31),0,R31*I31*J31)</f>
        <v>20</v>
      </c>
      <c r="U31" s="220" t="n">
        <f aca="false">IF(ISERROR(R31*J31),0,R31*J31)</f>
        <v>2</v>
      </c>
      <c r="V31" s="216" t="n">
        <v>2</v>
      </c>
      <c r="W31" s="217"/>
      <c r="Y31" s="215" t="str">
        <f aca="false">IF(A31="new.cod","NEWCOD",IF(AND((Z31=""),ISTEXT(A31)),A31,IF(Z31="","",INDEX('[1]liste reference'!$A$7:$A$904,Z31))))</f>
        <v>PHAARU</v>
      </c>
      <c r="Z31" s="9" t="n">
        <f aca="false">IF(ISERROR(MATCH(A31,'[1]liste reference'!$A$7:$A$904,0)),IF(ISERROR(MATCH(A31,'[1]liste reference'!$B$7:$B$904,0)),"",(MATCH(A31,'[1]liste reference'!$B$7:$B$904,0))),(MATCH(A31,'[1]liste reference'!$A$7:$A$904,0)))</f>
        <v>640</v>
      </c>
      <c r="AA31" s="218"/>
      <c r="AB31" s="219"/>
      <c r="AC31" s="219"/>
      <c r="BC31" s="9" t="n">
        <f aca="false">IF(A31="","",1)</f>
        <v>1</v>
      </c>
    </row>
    <row r="32" customFormat="false" ht="12.75" hidden="false" customHeight="false" outlineLevel="0" collapsed="false">
      <c r="A32" s="201" t="s">
        <v>87</v>
      </c>
      <c r="B32" s="202"/>
      <c r="C32" s="203" t="n">
        <v>0.02</v>
      </c>
      <c r="D32" s="204" t="str">
        <f aca="false">IF(ISERROR(VLOOKUP($A32,'[1]liste reference'!$A$7:$D$904,2,0)),IF(ISERROR(VLOOKUP($A32,'[1]liste reference'!$B$7:$D$904,1,0)),"",VLOOKUP($A32,'[1]liste reference'!$B$7:$D$904,1,0)),VLOOKUP($A32,'[1]liste reference'!$A$7:$D$904,2,0))</f>
        <v>Rorippa amphibia</v>
      </c>
      <c r="E32" s="204" t="e">
        <f aca="false">IF(D32="",0,VLOOKUP(D32,D$22:D31,1,0))</f>
        <v>#N/A</v>
      </c>
      <c r="F32" s="205" t="n">
        <f aca="false">($B32*$B$7+$C32*$C$7)/100</f>
        <v>0.004</v>
      </c>
      <c r="G32" s="206" t="str">
        <f aca="false">IF(A32="","",IF(ISERROR(VLOOKUP($A32,'[1]liste reference'!$A$7:$P$904,13,0)),IF(ISERROR(VLOOKUP($A32,'[1]liste reference'!$B$7:$P$904,12,0)),"    -",VLOOKUP($A32,'[1]liste reference'!$B$7:$P$904,12,0)),VLOOKUP($A32,'[1]liste reference'!$A$7:$P$904,13,0)))</f>
        <v>PHe</v>
      </c>
      <c r="H32" s="207" t="n">
        <f aca="false">IF(A32="","x",IF(ISERROR(VLOOKUP($A32,'[1]liste reference'!$A$7:$P$904,14,0)),IF(ISERROR(VLOOKUP($A32,'[1]liste reference'!$B$7:$P$904,13,0)),"x",VLOOKUP($A32,'[1]liste reference'!$B$7:$P$904,13,0)),VLOOKUP($A32,'[1]liste reference'!$A$7:$P$904,14,0)))</f>
        <v>8</v>
      </c>
      <c r="I32" s="208" t="n">
        <f aca="false">IF(ISNUMBER(H32),IF(ISERROR(VLOOKUP($A32,'[1]liste reference'!$A$7:$P$904,3,0)),IF(ISERROR(VLOOKUP($A32,'[1]liste reference'!$B$7:$P$904,2,0)),"",VLOOKUP($A32,'[1]liste reference'!$B$7:$P$904,2,0)),VLOOKUP($A32,'[1]liste reference'!$A$7:$P$904,3,0)),"")</f>
        <v>9</v>
      </c>
      <c r="J32" s="209" t="n">
        <f aca="false">IF(ISNUMBER(H32),IF(ISERROR(VLOOKUP($A32,'[1]liste reference'!$A$7:$P$904,4,0)),IF(ISERROR(VLOOKUP($A32,'[1]liste reference'!$B$7:$P$904,3,0)),"",VLOOKUP($A32,'[1]liste reference'!$B$7:$P$904,3,0)),VLOOKUP($A32,'[1]liste reference'!$A$7:$P$904,4,0)),"")</f>
        <v>1</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Rorippa amphibia</v>
      </c>
      <c r="L32" s="211"/>
      <c r="M32" s="211"/>
      <c r="N32" s="211"/>
      <c r="O32" s="212"/>
      <c r="P32" s="213" t="n">
        <f aca="false">IF($A32="NEWCOD",IF($AC32="","No",$AC32),IF(ISTEXT($E32),"DEJA SAISI !",IF($A32="","",IF(ISERROR(VLOOKUP($A32,'[1]liste reference'!A$1:S$1048576,19,FALSE())),IF(ISERROR(VLOOKUP($A32,'[1]liste reference'!B$1:S$1048576,19,FALSE())),"",VLOOKUP($A32,'[1]liste reference'!B$1:S$1048576,19,FALSE())),VLOOKUP($A32,'[1]liste reference'!A$1:S$1048576,19,FALSE())))))</f>
        <v>1765</v>
      </c>
      <c r="Q32" s="214" t="n">
        <f aca="false">IF(ISTEXT(H32),"",(B32*$B$7/100)+(C32*$C$7/100))</f>
        <v>0.004</v>
      </c>
      <c r="R32" s="215" t="n">
        <f aca="false">IF(OR(ISTEXT(H32),Q32=0),"",IF(Q32&lt;0.1,1,IF(Q32&lt;1,2,IF(Q32&lt;10,3,IF(Q32&lt;50,4,IF(Q32&gt;=50,5,""))))))</f>
        <v>1</v>
      </c>
      <c r="S32" s="215" t="n">
        <f aca="false">IF(ISERROR(R32*I32),0,R32*I32)</f>
        <v>9</v>
      </c>
      <c r="T32" s="215" t="n">
        <f aca="false">IF(ISERROR(R32*I32*J32),0,R32*I32*J32)</f>
        <v>9</v>
      </c>
      <c r="U32" s="220" t="n">
        <f aca="false">IF(ISERROR(R32*J32),0,R32*J32)</f>
        <v>1</v>
      </c>
      <c r="V32" s="216" t="n">
        <v>1</v>
      </c>
      <c r="W32" s="217"/>
      <c r="Y32" s="215" t="str">
        <f aca="false">IF(A32="new.cod","NEWCOD",IF(AND((Z32=""),ISTEXT(A32)),A32,IF(Z32="","",INDEX('[1]liste reference'!$A$7:$A$904,Z32))))</f>
        <v>RORAMP</v>
      </c>
      <c r="Z32" s="9" t="n">
        <f aca="false">IF(ISERROR(MATCH(A32,'[1]liste reference'!$A$7:$A$904,0)),IF(ISERROR(MATCH(A32,'[1]liste reference'!$B$7:$B$904,0)),"",(MATCH(A32,'[1]liste reference'!$B$7:$B$904,0))),(MATCH(A32,'[1]liste reference'!$A$7:$A$904,0)))</f>
        <v>651</v>
      </c>
      <c r="AA32" s="218"/>
      <c r="AB32" s="219"/>
      <c r="AC32" s="219"/>
      <c r="BC32" s="9" t="n">
        <f aca="false">IF(A32="","",1)</f>
        <v>1</v>
      </c>
    </row>
    <row r="33" customFormat="false" ht="12.75" hidden="false" customHeight="false" outlineLevel="0" collapsed="false">
      <c r="A33" s="201" t="s">
        <v>88</v>
      </c>
      <c r="B33" s="202"/>
      <c r="C33" s="203" t="n">
        <v>0.01</v>
      </c>
      <c r="D33" s="204" t="str">
        <f aca="false">IF(ISERROR(VLOOKUP($A33,'[1]liste reference'!$A$7:$D$904,2,0)),IF(ISERROR(VLOOKUP($A33,'[1]liste reference'!$B$7:$D$904,1,0)),"",VLOOKUP($A33,'[1]liste reference'!$B$7:$D$904,1,0)),VLOOKUP($A33,'[1]liste reference'!$A$7:$D$904,2,0))</f>
        <v/>
      </c>
      <c r="E33" s="204" t="n">
        <f aca="false">IF(D33="",0,VLOOKUP(D33,D$22:D32,1,0))</f>
        <v>0</v>
      </c>
      <c r="F33" s="205" t="n">
        <f aca="false">($B33*$B$7+$C33*$C$7)/100</f>
        <v>0.002</v>
      </c>
      <c r="G33" s="206" t="str">
        <f aca="false">IF(A33="","",IF(ISERROR(VLOOKUP($A33,'[1]liste reference'!$A$7:$P$904,13,0)),IF(ISERROR(VLOOKUP($A33,'[1]liste reference'!$B$7:$P$904,12,0)),"    -",VLOOKUP($A33,'[1]liste reference'!$B$7:$P$904,12,0)),VLOOKUP($A33,'[1]liste reference'!$A$7:$P$904,13,0)))</f>
        <v>    -</v>
      </c>
      <c r="H33" s="207" t="str">
        <f aca="false">IF(A33="","x",IF(ISERROR(VLOOKUP($A33,'[1]liste reference'!$A$7:$P$904,14,0)),IF(ISERROR(VLOOKUP($A33,'[1]liste reference'!$B$7:$P$904,13,0)),"x",VLOOKUP($A33,'[1]liste reference'!$B$7:$P$904,13,0)),VLOOKUP($A33,'[1]liste reference'!$A$7:$P$904,14,0)))</f>
        <v>x</v>
      </c>
      <c r="I33" s="208"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code non répertorié ou synonyme</v>
      </c>
      <c r="L33" s="211"/>
      <c r="M33" s="211"/>
      <c r="N33" s="211"/>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IF(A33="new.cod","NEWCOD",IF(AND((Z33=""),ISTEXT(A33)),A33,IF(Z33="","",INDEX('[1]liste reference'!$A$7:$A$904,Z33))))</f>
        <v>SALSPX</v>
      </c>
      <c r="Z33" s="9" t="str">
        <f aca="false">IF(ISERROR(MATCH(A33,'[1]liste reference'!$A$7:$A$904,0)),IF(ISERROR(MATCH(A33,'[1]liste reference'!$B$7:$B$904,0)),"",(MATCH(A33,'[1]liste reference'!$B$7:$B$904,0))),(MATCH(A33,'[1]liste reference'!$A$7:$A$904,0)))</f>
        <v/>
      </c>
      <c r="AA33" s="218"/>
      <c r="AB33" s="219"/>
      <c r="AC33" s="219"/>
      <c r="BC33" s="9" t="n">
        <f aca="false">IF(A33="","",1)</f>
        <v>1</v>
      </c>
    </row>
    <row r="34" customFormat="false" ht="12.75" hidden="false" customHeight="false" outlineLevel="0" collapsed="false">
      <c r="A34" s="201"/>
      <c r="B34" s="202"/>
      <c r="C34" s="203"/>
      <c r="D34" s="204" t="str">
        <f aca="false">IF(ISERROR(VLOOKUP($A34,'[1]liste reference'!$A$7:$D$904,2,0)),IF(ISERROR(VLOOKUP($A34,'[1]liste reference'!$B$7:$D$904,1,0)),"",VLOOKUP($A34,'[1]liste reference'!$B$7:$D$904,1,0)),VLOOKUP($A34,'[1]liste reference'!$A$7:$D$904,2,0))</f>
        <v/>
      </c>
      <c r="E34" s="204" t="n">
        <f aca="false">IF(D34="",0,VLOOKUP(D34,D$22:D33,1,0))</f>
        <v>0</v>
      </c>
      <c r="F34" s="205" t="n">
        <f aca="false">($B34*$B$7+$C34*$C$7)/100</f>
        <v>0</v>
      </c>
      <c r="G34" s="206" t="str">
        <f aca="false">IF(A34="","",IF(ISERROR(VLOOKUP($A34,'[1]liste reference'!$A$7:$P$904,13,0)),IF(ISERROR(VLOOKUP($A34,'[1]liste reference'!$B$7:$P$904,12,0)),"    -",VLOOKUP($A34,'[1]liste reference'!$B$7:$P$904,12,0)),VLOOKUP($A34,'[1]liste reference'!$A$7:$P$904,13,0)))</f>
        <v/>
      </c>
      <c r="H34" s="207" t="str">
        <f aca="false">IF(A34="","x",IF(ISERROR(VLOOKUP($A34,'[1]liste reference'!$A$7:$P$904,14,0)),IF(ISERROR(VLOOKUP($A34,'[1]liste reference'!$B$7:$P$904,13,0)),"x",VLOOKUP($A34,'[1]liste reference'!$B$7:$P$904,13,0)),VLOOKUP($A34,'[1]liste reference'!$A$7:$P$904,14,0)))</f>
        <v>x</v>
      </c>
      <c r="I34" s="208"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11"/>
      <c r="M34" s="211"/>
      <c r="N34" s="211"/>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IF(A34="new.cod","NEWCOD",IF(AND((Z34=""),ISTEXT(A34)),A34,IF(Z34="","",INDEX('[1]liste reference'!$A$7:$A$904,Z34))))</f>
        <v/>
      </c>
      <c r="Z34" s="9" t="str">
        <f aca="false">IF(ISERROR(MATCH(A34,'[1]liste reference'!$A$7:$A$904,0)),IF(ISERROR(MATCH(A34,'[1]liste reference'!$B$7:$B$904,0)),"",(MATCH(A34,'[1]liste reference'!$B$7:$B$904,0))),(MATCH(A34,'[1]liste reference'!$A$7:$A$904,0)))</f>
        <v/>
      </c>
      <c r="AA34" s="218"/>
      <c r="AB34" s="219"/>
      <c r="AC34" s="219"/>
      <c r="BC34" s="9" t="str">
        <f aca="false">IF(A34="","",1)</f>
        <v/>
      </c>
    </row>
    <row r="35" customFormat="false" ht="12.75" hidden="false" customHeight="false" outlineLevel="0" collapsed="false">
      <c r="A35" s="201"/>
      <c r="B35" s="202"/>
      <c r="C35" s="203"/>
      <c r="D35" s="204" t="str">
        <f aca="false">IF(ISERROR(VLOOKUP($A35,'[1]liste reference'!$A$7:$D$904,2,0)),IF(ISERROR(VLOOKUP($A35,'[1]liste reference'!$B$7:$D$904,1,0)),"",VLOOKUP($A35,'[1]liste reference'!$B$7:$D$904,1,0)),VLOOKUP($A35,'[1]liste reference'!$A$7:$D$904,2,0))</f>
        <v/>
      </c>
      <c r="E35" s="204" t="n">
        <f aca="false">IF(D35="",0,VLOOKUP(D35,D$22:D34,1,0))</f>
        <v>0</v>
      </c>
      <c r="F35" s="205" t="n">
        <f aca="false">($B35*$B$7+$C35*$C$7)/100</f>
        <v>0</v>
      </c>
      <c r="G35" s="206" t="str">
        <f aca="false">IF(A35="","",IF(ISERROR(VLOOKUP($A35,'[1]liste reference'!$A$7:$P$904,13,0)),IF(ISERROR(VLOOKUP($A35,'[1]liste reference'!$B$7:$P$904,12,0)),"    -",VLOOKUP($A35,'[1]liste reference'!$B$7:$P$904,12,0)),VLOOKUP($A35,'[1]liste reference'!$A$7:$P$904,13,0)))</f>
        <v/>
      </c>
      <c r="H35" s="207" t="str">
        <f aca="false">IF(A35="","x",IF(ISERROR(VLOOKUP($A35,'[1]liste reference'!$A$7:$P$904,14,0)),IF(ISERROR(VLOOKUP($A35,'[1]liste reference'!$B$7:$P$904,13,0)),"x",VLOOKUP($A35,'[1]liste reference'!$B$7:$P$904,13,0)),VLOOKUP($A35,'[1]liste reference'!$A$7:$P$904,14,0)))</f>
        <v>x</v>
      </c>
      <c r="I35" s="208"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11"/>
      <c r="M35" s="211"/>
      <c r="N35" s="211"/>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IF(A35="new.cod","NEWCOD",IF(AND((Z35=""),ISTEXT(A35)),A35,IF(Z35="","",INDEX('[1]liste reference'!$A$7:$A$904,Z35))))</f>
        <v/>
      </c>
      <c r="Z35" s="9" t="str">
        <f aca="false">IF(ISERROR(MATCH(A35,'[1]liste reference'!$A$7:$A$904,0)),IF(ISERROR(MATCH(A35,'[1]liste reference'!$B$7:$B$904,0)),"",(MATCH(A35,'[1]liste reference'!$B$7:$B$904,0))),(MATCH(A35,'[1]liste reference'!$A$7:$A$904,0)))</f>
        <v/>
      </c>
      <c r="AA35" s="218"/>
      <c r="AB35" s="219"/>
      <c r="AC35" s="219"/>
      <c r="BC35" s="9" t="str">
        <f aca="false">IF(A35="","",1)</f>
        <v/>
      </c>
    </row>
    <row r="36" customFormat="false" ht="12.75" hidden="false" customHeight="false" outlineLevel="0" collapsed="false">
      <c r="A36" s="201"/>
      <c r="B36" s="202"/>
      <c r="C36" s="203"/>
      <c r="D36" s="204" t="str">
        <f aca="false">IF(ISERROR(VLOOKUP($A36,'[1]liste reference'!$A$7:$D$904,2,0)),IF(ISERROR(VLOOKUP($A36,'[1]liste reference'!$B$7:$D$904,1,0)),"",VLOOKUP($A36,'[1]liste reference'!$B$7:$D$904,1,0)),VLOOKUP($A36,'[1]liste reference'!$A$7:$D$904,2,0))</f>
        <v/>
      </c>
      <c r="E36" s="204" t="n">
        <f aca="false">IF(D36="",0,VLOOKUP(D36,D$22:D35,1,0))</f>
        <v>0</v>
      </c>
      <c r="F36" s="205" t="n">
        <f aca="false">($B36*$B$7+$C36*$C$7)/100</f>
        <v>0</v>
      </c>
      <c r="G36" s="206" t="str">
        <f aca="false">IF(A36="","",IF(ISERROR(VLOOKUP($A36,'[1]liste reference'!$A$7:$P$904,13,0)),IF(ISERROR(VLOOKUP($A36,'[1]liste reference'!$B$7:$P$904,12,0)),"    -",VLOOKUP($A36,'[1]liste reference'!$B$7:$P$904,12,0)),VLOOKUP($A36,'[1]liste reference'!$A$7:$P$904,13,0)))</f>
        <v/>
      </c>
      <c r="H36" s="207" t="str">
        <f aca="false">IF(A36="","x",IF(ISERROR(VLOOKUP($A36,'[1]liste reference'!$A$7:$P$904,14,0)),IF(ISERROR(VLOOKUP($A36,'[1]liste reference'!$B$7:$P$904,13,0)),"x",VLOOKUP($A36,'[1]liste reference'!$B$7:$P$904,13,0)),VLOOKUP($A36,'[1]liste reference'!$A$7:$P$904,14,0)))</f>
        <v>x</v>
      </c>
      <c r="I36" s="208"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11"/>
      <c r="M36" s="211"/>
      <c r="N36" s="211"/>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IF(A36="new.cod","NEWCOD",IF(AND((Z36=""),ISTEXT(A36)),A36,IF(Z36="","",INDEX('[1]liste reference'!$A$7:$A$904,Z36))))</f>
        <v/>
      </c>
      <c r="Z36" s="9" t="str">
        <f aca="false">IF(ISERROR(MATCH(A36,'[1]liste reference'!$A$7:$A$904,0)),IF(ISERROR(MATCH(A36,'[1]liste reference'!$B$7:$B$904,0)),"",(MATCH(A36,'[1]liste reference'!$B$7:$B$904,0))),(MATCH(A36,'[1]liste reference'!$A$7:$A$904,0)))</f>
        <v/>
      </c>
      <c r="AA36" s="218"/>
      <c r="AB36" s="219"/>
      <c r="AC36" s="219"/>
      <c r="BC36" s="9" t="str">
        <f aca="false">IF(A36="","",1)</f>
        <v/>
      </c>
    </row>
    <row r="37" customFormat="false" ht="12.75" hidden="false" customHeight="false" outlineLevel="0" collapsed="false">
      <c r="A37" s="201"/>
      <c r="B37" s="202"/>
      <c r="C37" s="203"/>
      <c r="D37" s="204" t="str">
        <f aca="false">IF(ISERROR(VLOOKUP($A37,'[1]liste reference'!$A$7:$D$904,2,0)),IF(ISERROR(VLOOKUP($A37,'[1]liste reference'!$B$7:$D$904,1,0)),"",VLOOKUP($A37,'[1]liste reference'!$B$7:$D$904,1,0)),VLOOKUP($A37,'[1]liste reference'!$A$7:$D$904,2,0))</f>
        <v/>
      </c>
      <c r="E37" s="204" t="n">
        <f aca="false">IF(D37="",0,VLOOKUP(D37,D$22:D36,1,0))</f>
        <v>0</v>
      </c>
      <c r="F37" s="205" t="n">
        <f aca="false">($B37*$B$7+$C37*$C$7)/100</f>
        <v>0</v>
      </c>
      <c r="G37" s="206" t="str">
        <f aca="false">IF(A37="","",IF(ISERROR(VLOOKUP($A37,'[1]liste reference'!$A$7:$P$904,13,0)),IF(ISERROR(VLOOKUP($A37,'[1]liste reference'!$B$7:$P$904,12,0)),"    -",VLOOKUP($A37,'[1]liste reference'!$B$7:$P$904,12,0)),VLOOKUP($A37,'[1]liste reference'!$A$7:$P$904,13,0)))</f>
        <v/>
      </c>
      <c r="H37" s="207" t="str">
        <f aca="false">IF(A37="","x",IF(ISERROR(VLOOKUP($A37,'[1]liste reference'!$A$7:$P$904,14,0)),IF(ISERROR(VLOOKUP($A37,'[1]liste reference'!$B$7:$P$904,13,0)),"x",VLOOKUP($A37,'[1]liste reference'!$B$7:$P$904,13,0)),VLOOKUP($A37,'[1]liste reference'!$A$7:$P$904,14,0)))</f>
        <v>x</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11"/>
      <c r="M37" s="211"/>
      <c r="N37" s="211"/>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IF(A37="new.cod","NEWCOD",IF(AND((Z37=""),ISTEXT(A37)),A37,IF(Z37="","",INDEX('[1]liste reference'!$A$7:$A$904,Z37))))</f>
        <v/>
      </c>
      <c r="Z37" s="9" t="str">
        <f aca="false">IF(ISERROR(MATCH(A37,'[1]liste reference'!$A$7:$A$904,0)),IF(ISERROR(MATCH(A37,'[1]liste reference'!$B$7:$B$904,0)),"",(MATCH(A37,'[1]liste reference'!$B$7:$B$904,0))),(MATCH(A37,'[1]liste reference'!$A$7:$A$904,0)))</f>
        <v/>
      </c>
      <c r="AA37" s="218"/>
      <c r="AB37" s="219"/>
      <c r="AC37" s="219"/>
      <c r="BC37" s="9" t="str">
        <f aca="false">IF(A37="","",1)</f>
        <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IF(D38="",0,VLOOKUP(D38,D$22:D37,1,0))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IF(D39="",0,VLOOKUP(D39,D$22:D38,1,0))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IF(D41="",0,VLOOKUP(D41,D$22:D34,1,0))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IF(D42="",0,VLOOKUP(D42,D$22:D34,1,0))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IF(D43="",0,VLOOKUP(D43,D$22:D35,1,0))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IF(D44="",0,VLOOKUP(D44,D$22:D43,1,0))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IF(D45="",0,VLOOKUP(D45,D$22:D44,1,0))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IF(D46="",0,VLOOKUP(D46,D$22:D45,1,0))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IF(D47="",0,VLOOKUP(D47,D$22:D46,1,0))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IF(D48="",0,VLOOKUP(D48,D$22:D47,1,0))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IF(D52="",0,VLOOKUP(D52,D$21:D51,1,0))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X52" s="221"/>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IF(D54="",0,VLOOKUP(D54,D$22:D53,1,0))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2"/>
      <c r="M54" s="222"/>
      <c r="N54" s="222"/>
      <c r="O54" s="223"/>
      <c r="P54" s="22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IF(D55="",0,VLOOKUP(D55,D$22:D54,1,0))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2"/>
      <c r="M55" s="222"/>
      <c r="N55" s="222"/>
      <c r="O55" s="223"/>
      <c r="P55" s="22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11"/>
      <c r="M56" s="211"/>
      <c r="N56" s="211"/>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IF(D57="",0,VLOOKUP(D57,D$22:D56,1,0))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11"/>
      <c r="M57" s="211"/>
      <c r="N57" s="211"/>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X57" s="217"/>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11"/>
      <c r="M58" s="211"/>
      <c r="N58" s="211"/>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11"/>
      <c r="M59" s="211"/>
      <c r="N59" s="211"/>
      <c r="O59" s="212"/>
      <c r="P59" s="213"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24"/>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11"/>
      <c r="M60" s="211"/>
      <c r="N60" s="211"/>
      <c r="O60" s="212"/>
      <c r="P60" s="213"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2"/>
      <c r="M81" s="222"/>
      <c r="N81" s="222"/>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89</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ALLIER</v>
      </c>
      <c r="B84" s="243" t="str">
        <f aca="false">C3</f>
        <v>COURNON D'AUVERGNE</v>
      </c>
      <c r="C84" s="244" t="n">
        <f aca="false">A4</f>
        <v>41102</v>
      </c>
      <c r="D84" s="245" t="n">
        <f aca="false">IF(ISERROR(SUM($T$23:$T$82)/SUM($U$23:$U$82)),"",SUM($T$23:$T$82)/SUM($U$23:$U$82))</f>
        <v>9</v>
      </c>
      <c r="E84" s="246" t="n">
        <f aca="false">N13</f>
        <v>11</v>
      </c>
      <c r="F84" s="243" t="n">
        <f aca="false">N14</f>
        <v>9</v>
      </c>
      <c r="G84" s="243" t="n">
        <f aca="false">N15</f>
        <v>5</v>
      </c>
      <c r="H84" s="243" t="n">
        <f aca="false">N16</f>
        <v>3</v>
      </c>
      <c r="I84" s="243" t="n">
        <f aca="false">N17</f>
        <v>1</v>
      </c>
      <c r="J84" s="247" t="n">
        <f aca="false">N8</f>
        <v>9.33333333333333</v>
      </c>
      <c r="K84" s="245" t="n">
        <f aca="false">N9</f>
        <v>2.44948974278318</v>
      </c>
      <c r="L84" s="246" t="n">
        <f aca="false">N10</f>
        <v>5</v>
      </c>
      <c r="M84" s="246" t="n">
        <f aca="false">N11</f>
        <v>13</v>
      </c>
      <c r="N84" s="245" t="n">
        <f aca="false">O8</f>
        <v>1.55555555555556</v>
      </c>
      <c r="O84" s="245" t="n">
        <f aca="false">O9</f>
        <v>0.726483157256779</v>
      </c>
      <c r="P84" s="246"/>
      <c r="Q84" s="246" t="n">
        <f aca="false">O10</f>
        <v>1</v>
      </c>
      <c r="R84" s="246" t="n">
        <f aca="false">O11</f>
        <v>3</v>
      </c>
      <c r="S84" s="248" t="n">
        <f aca="false">F21</f>
        <v>1.29</v>
      </c>
      <c r="T84" s="246" t="n">
        <f aca="false">K11</f>
        <v>0</v>
      </c>
      <c r="U84" s="246" t="n">
        <f aca="false">K12</f>
        <v>1</v>
      </c>
      <c r="V84" s="246" t="n">
        <f aca="false">K13</f>
        <v>3</v>
      </c>
      <c r="W84" s="249" t="n">
        <f aca="false">K14</f>
        <v>0</v>
      </c>
      <c r="X84" s="250" t="n">
        <f aca="false">K15</f>
        <v>6</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90</v>
      </c>
      <c r="R86" s="9"/>
      <c r="S86" s="216"/>
      <c r="T86" s="9"/>
      <c r="U86" s="9"/>
      <c r="V86" s="9"/>
    </row>
    <row r="87" customFormat="false" ht="12.75" hidden="true" customHeight="false" outlineLevel="0" collapsed="false">
      <c r="P87" s="9"/>
      <c r="Q87" s="9" t="s">
        <v>91</v>
      </c>
      <c r="R87" s="9"/>
      <c r="S87" s="216" t="n">
        <f aca="false">VLOOKUP(MAX($S$23:$S$82),($S$23:$U$82),1,0)</f>
        <v>24</v>
      </c>
      <c r="T87" s="9"/>
      <c r="U87" s="9"/>
      <c r="V87" s="9"/>
    </row>
    <row r="88" customFormat="false" ht="12.75" hidden="true" customHeight="false" outlineLevel="0" collapsed="false">
      <c r="P88" s="9"/>
      <c r="Q88" s="9" t="s">
        <v>92</v>
      </c>
      <c r="R88" s="9"/>
      <c r="S88" s="216" t="n">
        <f aca="false">VLOOKUP((S87),($S$23:$U$82),2,0)</f>
        <v>24</v>
      </c>
      <c r="T88" s="9"/>
      <c r="U88" s="9"/>
      <c r="V88" s="9"/>
    </row>
    <row r="89" customFormat="false" ht="12.75" hidden="false" customHeight="false" outlineLevel="0" collapsed="false">
      <c r="Q89" s="9" t="s">
        <v>93</v>
      </c>
      <c r="R89" s="9"/>
      <c r="S89" s="216" t="n">
        <f aca="false">VLOOKUP((S87),($S$23:$U$82),3,0)</f>
        <v>2</v>
      </c>
      <c r="T89" s="9"/>
    </row>
    <row r="90" customFormat="false" ht="12.75" hidden="false" customHeight="false" outlineLevel="0" collapsed="false">
      <c r="Q90" s="9" t="s">
        <v>94</v>
      </c>
      <c r="R90" s="9"/>
      <c r="S90" s="252" t="n">
        <f aca="false">IF(ISERROR(SUM($T$23:$T$82)/SUM($U$23:$U$82)),"",(SUM($T$23:$T$82)-S88)/(SUM($U$23:$U$82)-S89))</f>
        <v>8.625</v>
      </c>
      <c r="T90" s="9"/>
    </row>
    <row r="91" customFormat="false" ht="12.75" hidden="false" customHeight="false" outlineLevel="0" collapsed="false">
      <c r="Q91" s="215" t="s">
        <v>95</v>
      </c>
      <c r="R91" s="215"/>
      <c r="S91" s="215" t="str">
        <f aca="false">INDEX('[1]liste reference'!$A$7:$A$904,$T$91)</f>
        <v>RANPSE</v>
      </c>
      <c r="T91" s="9" t="n">
        <f aca="false">IF(ISERROR(MATCH($S$93,'[1]liste reference'!$A$7:$A$904,0)),MATCH($S$93,'[1]liste reference'!$B$7:$B$904,0),(MATCH($S$93,'[1]liste reference'!$A$7:$A$904,0)))</f>
        <v>468</v>
      </c>
      <c r="U91" s="241"/>
    </row>
    <row r="92" customFormat="false" ht="12.75" hidden="false" customHeight="false" outlineLevel="0" collapsed="false">
      <c r="Q92" s="9" t="s">
        <v>96</v>
      </c>
      <c r="R92" s="9"/>
      <c r="S92" s="9" t="n">
        <f aca="false">MATCH(S87,$S$23:$S$82,0)</f>
        <v>6</v>
      </c>
      <c r="T92" s="9"/>
    </row>
    <row r="93" customFormat="false" ht="12.75" hidden="false" customHeight="false" outlineLevel="0" collapsed="false">
      <c r="Q93" s="215" t="s">
        <v>97</v>
      </c>
      <c r="R93" s="9"/>
      <c r="S93" s="215" t="str">
        <f aca="false">INDEX($A$23:$A$82,$S$92)</f>
        <v>RANPSE</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2 B34: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2024-03-14T21:37:19Z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