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1750_SIOULET_Combrailles" sheetId="1" state="visible" r:id="rId3"/>
  </sheets>
  <externalReferences>
    <externalReference r:id="rId4"/>
  </externalReferences>
  <definedNames>
    <definedName function="false" hidden="false" localSheetId="0" name="_xlnm.Print_Area" vbProcedure="false">04041750_SIOULET_Combrailles!$A$1:$O$82</definedName>
    <definedName function="false" hidden="false" localSheetId="0" name="Excel_BuiltIn__FilterDatabase" vbProcedure="false">04041750_SIOULET_Combrailles!$A$23:$J$84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<sst xmlns="http://schemas.openxmlformats.org/spreadsheetml/2006/main" count="115" uniqueCount="111">
  <si>
    <t xml:space="preserve">Relevés floristiques aquatiques - IBMR</t>
  </si>
  <si>
    <t xml:space="preserve">GIS Macrophytes - juillet 2006</t>
  </si>
  <si>
    <t xml:space="preserve">SCE</t>
  </si>
  <si>
    <t xml:space="preserve">Stéphane DULAU</t>
  </si>
  <si>
    <t xml:space="preserve">conforme AFNOR T90-395 oct. 2003</t>
  </si>
  <si>
    <t xml:space="preserve">SIOULET</t>
  </si>
  <si>
    <t xml:space="preserve">Combrailles</t>
  </si>
  <si>
    <t xml:space="preserve">04041750</t>
  </si>
  <si>
    <t xml:space="preserve">RCS - Auvergne</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</si>
  <si>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</si>
  <si>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</si>
  <si>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</si>
  <si>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</si>
  <si>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</si>
  <si>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</si>
  <si>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</si>
  <si>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</si>
  <si>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</si>
  <si>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</si>
  <si>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</si>
  <si>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</si>
  <si>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</si>
  <si>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</si>
  <si>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</si>
  <si>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</si>
  <si>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</si>
  <si>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</si>
  <si>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</si>
  <si>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</si>
  <si>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</si>
  <si>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</si>
  <si>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</si>
  <si>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</si>
  <si>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</si>
  <si>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</si>
  <si>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</si>
  <si>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</si>
  <si>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</si>
  <si>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</si>
  <si>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</si>
  <si>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</si>
  <si>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</si>
  <si>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</si>
  <si>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</si>
  <si>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</si>
  <si>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</si>
  <si>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</si>
  <si>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</si>
  <si>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</si>
  <si>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</si>
  <si>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</si>
  <si>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</si>
  <si>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</si>
  <si>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</si>
  <si>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</si>
  <si>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</si>
  <si>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</si>
  <si>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(10,275 %) et</t>
  </si>
  <si>
    <t xml:space="preserve">rec. pondéré</t>
  </si>
  <si>
    <t xml:space="preserve">voir aussi colonne BB</t>
  </si>
  <si>
    <t xml:space="preserve"> rec. par taxa (5,17 %)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</si>
  <si>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</si>
  <si>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</si>
  <si>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</si>
  <si>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</si>
  <si>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</si>
  <si>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</si>
  <si>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</si>
  <si>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</si>
  <si>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</si>
  <si>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</si>
  <si>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</si>
  <si>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</si>
  <si>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</si>
  <si>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</si>
  <si>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</si>
  <si>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</si>
  <si>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</si>
  <si>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</si>
  <si>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LEA.SPX</t>
  </si>
  <si>
    <t xml:space="preserve">LYN.SPX</t>
  </si>
  <si>
    <t xml:space="preserve">MEL.SPX</t>
  </si>
  <si>
    <t xml:space="preserve">NOS.SPX</t>
  </si>
  <si>
    <t xml:space="preserve">OED.SPX</t>
  </si>
  <si>
    <t xml:space="preserve">PHO.SPX</t>
  </si>
  <si>
    <t xml:space="preserve">DER.WEB</t>
  </si>
  <si>
    <t xml:space="preserve">CHI.POL</t>
  </si>
  <si>
    <t xml:space="preserve">AMB.FLU</t>
  </si>
  <si>
    <t xml:space="preserve">BRA.RIV</t>
  </si>
  <si>
    <t xml:space="preserve">CIN.SPX</t>
  </si>
  <si>
    <t xml:space="preserve">FIS.CRA</t>
  </si>
  <si>
    <t xml:space="preserve">FON.ANT</t>
  </si>
  <si>
    <t xml:space="preserve">RHY.RIP</t>
  </si>
  <si>
    <t xml:space="preserve">POT.CRI</t>
  </si>
  <si>
    <t xml:space="preserve">ELE.PAL</t>
  </si>
  <si>
    <t xml:space="preserve">GLY.FLU</t>
  </si>
  <si>
    <t xml:space="preserve">IRI.PSE</t>
  </si>
  <si>
    <t xml:space="preserve">MEN.SPX</t>
  </si>
  <si>
    <t xml:space="preserve">PHA.ARU</t>
  </si>
  <si>
    <t xml:space="preserve">GAL.PAL</t>
  </si>
  <si>
    <t xml:space="preserve">NEWCOD</t>
  </si>
  <si>
    <t xml:space="preserve">RANUNCULUS PENICILLATUS:PELTATUS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</si>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</sst>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12.843137254902</v>
      </c>
      <c r="M5" s="51"/>
      <c r="N5" s="52" t="s">
        <v>15</v>
      </c>
      <c r="O5" s="53" t="n">
        <v>12.1666666666667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50</v>
      </c>
      <c r="C7" s="65" t="n">
        <v>50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11.9</v>
      </c>
      <c r="O8" s="82" t="n">
        <f aca="false">AVERAGE(J23:J82)</f>
        <v>1.8</v>
      </c>
      <c r="P8" s="8"/>
      <c r="Q8" s="8"/>
      <c r="R8" s="8"/>
      <c r="S8" s="8"/>
      <c r="T8" s="8"/>
      <c r="U8" s="8"/>
      <c r="V8" s="20"/>
      <c r="W8" s="21"/>
    </row>
    <row r="9" customFormat="false" ht="12.75" hidden="false" customHeight="false" outlineLevel="0" collapsed="false">
      <c r="A9" s="83" t="s">
        <v>28</v>
      </c>
      <c r="B9" s="84" t="n">
        <v>15</v>
      </c>
      <c r="C9" s="85" t="n">
        <v>5</v>
      </c>
      <c r="D9" s="86"/>
      <c r="E9" s="86"/>
      <c r="F9" s="87" t="n">
        <f aca="false">($B9*$B$7+$C9*$C$7)/100</f>
        <v>10</v>
      </c>
      <c r="G9" s="88"/>
      <c r="H9" s="89"/>
      <c r="I9" s="90"/>
      <c r="J9" s="91"/>
      <c r="K9" s="71"/>
      <c r="L9" s="92"/>
      <c r="M9" s="80" t="s">
        <v>29</v>
      </c>
      <c r="N9" s="81" t="n">
        <f aca="false">STDEV(I23:I82)</f>
        <v>2.93616290957756</v>
      </c>
      <c r="O9" s="82" t="n">
        <f aca="false">STDEV(J23:J82)</f>
        <v>0.615587011251092</v>
      </c>
      <c r="P9" s="8"/>
      <c r="Q9" s="8"/>
      <c r="R9" s="8"/>
      <c r="S9" s="8"/>
      <c r="T9" s="8"/>
      <c r="U9" s="8"/>
      <c r="V9" s="93"/>
      <c r="W9" s="94"/>
    </row>
    <row r="10" customFormat="false" ht="12.75" hidden="false" customHeight="false" outlineLevel="0" collapsed="false">
      <c r="A10" s="95" t="s">
        <v>30</v>
      </c>
      <c r="B10" s="96" t="n">
        <v>0.5</v>
      </c>
      <c r="C10" s="97" t="n">
        <v>0</v>
      </c>
      <c r="D10" s="98"/>
      <c r="E10" s="98"/>
      <c r="F10" s="87" t="n">
        <f aca="false">($B10*$B$7+$C10*$C$7)/100</f>
        <v>0.25</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0.5</v>
      </c>
      <c r="C12" s="117" t="n">
        <v>0.05</v>
      </c>
      <c r="D12" s="109"/>
      <c r="E12" s="109"/>
      <c r="F12" s="110" t="n">
        <f aca="false">($B12*$B$7+$C12*$C$7)/100</f>
        <v>0.275</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7.5</v>
      </c>
      <c r="C13" s="117" t="n">
        <v>2.5</v>
      </c>
      <c r="D13" s="109"/>
      <c r="E13" s="109"/>
      <c r="F13" s="110" t="n">
        <f aca="false">($B13*$B$7+$C13*$C$7)/100</f>
        <v>5</v>
      </c>
      <c r="G13" s="118"/>
      <c r="H13" s="66"/>
      <c r="I13" s="119" t="s">
        <v>39</v>
      </c>
      <c r="J13" s="119"/>
      <c r="K13" s="113" t="n">
        <f aca="false">COUNTIF($G$23:$G$82,"=BRm")+COUNTIF($G$23:$G$82,"=BRh")</f>
        <v>8</v>
      </c>
      <c r="L13" s="114"/>
      <c r="M13" s="124" t="s">
        <v>40</v>
      </c>
      <c r="N13" s="125" t="n">
        <f aca="false">COUNTIF(F23:F82,"&gt;0")</f>
        <v>24</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20</v>
      </c>
      <c r="O14" s="129"/>
      <c r="P14" s="8"/>
      <c r="Q14" s="8"/>
      <c r="R14" s="8"/>
      <c r="S14" s="8"/>
      <c r="T14" s="8"/>
      <c r="U14" s="8"/>
    </row>
    <row r="15" customFormat="false" ht="12.75" hidden="false" customHeight="false" outlineLevel="0" collapsed="false">
      <c r="A15" s="130" t="s">
        <v>44</v>
      </c>
      <c r="B15" s="131" t="n">
        <v>7.5</v>
      </c>
      <c r="C15" s="132" t="n">
        <v>2.5</v>
      </c>
      <c r="D15" s="109"/>
      <c r="E15" s="109"/>
      <c r="F15" s="110" t="n">
        <f aca="false">($B15*$B$7+$C15*$C$7)/100</f>
        <v>5</v>
      </c>
      <c r="G15" s="118"/>
      <c r="H15" s="66"/>
      <c r="I15" s="119" t="s">
        <v>45</v>
      </c>
      <c r="J15" s="119"/>
      <c r="K15" s="113" t="n">
        <f aca="false">(COUNTIF($G$23:$G$82,"=PHy"))+(COUNTIF($G$23:$G$82,"=PHe"))+(COUNTIF($G$23:$G$82,"=PHg"))+(COUNTIF($G$23:$G$82,"=PHx"))</f>
        <v>7</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12</v>
      </c>
      <c r="O16" s="135"/>
      <c r="P16" s="8"/>
      <c r="Q16" s="8"/>
      <c r="R16" s="8"/>
      <c r="S16" s="8"/>
      <c r="T16" s="8"/>
      <c r="U16" s="8"/>
    </row>
    <row r="17" customFormat="false" ht="12.75" hidden="false" customHeight="false" outlineLevel="0" collapsed="false">
      <c r="A17" s="115" t="s">
        <v>49</v>
      </c>
      <c r="B17" s="116" t="n">
        <v>15</v>
      </c>
      <c r="C17" s="117" t="n">
        <v>2.5</v>
      </c>
      <c r="D17" s="109"/>
      <c r="E17" s="109"/>
      <c r="F17" s="139"/>
      <c r="G17" s="110" t="n">
        <f aca="false">($B17*$B$7+$C17*$C$7)/100</f>
        <v>8.75</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v>
      </c>
      <c r="C18" s="142" t="n">
        <v>2.5</v>
      </c>
      <c r="D18" s="109"/>
      <c r="E18" s="143" t="s">
        <v>52</v>
      </c>
      <c r="F18" s="139"/>
      <c r="G18" s="110" t="n">
        <f aca="false">($B18*$B$7+$C18*$C$7)/100</f>
        <v>1.25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10.275</v>
      </c>
      <c r="G19" s="151" t="n">
        <f aca="false">SUM(G16:G18)</f>
        <v>10</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7.23</v>
      </c>
      <c r="C20" s="160" t="n">
        <f aca="false">SUM(C23:C82)</f>
        <v>3.11</v>
      </c>
      <c r="D20" s="161"/>
      <c r="E20" s="162" t="s">
        <v>52</v>
      </c>
      <c r="F20" s="163" t="n">
        <f aca="false">($B20*$B$7+$C20*$C$7)/100</f>
        <v>5.17</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3.615</v>
      </c>
      <c r="C21" s="172" t="n">
        <f aca="false">C20*C7/100</f>
        <v>1.555</v>
      </c>
      <c r="D21" s="109" t="str">
        <f aca="false">IF(F21=0,"",IF((ABS(F21-F19))&gt;(0.2*F21),CONCATENATE(" rec. par taxa (",F21," %) supérieur à 20 % !"),""))</f>
        <v> rec. par taxa (5,17 %) supérieur à 20 % !</v>
      </c>
      <c r="E21" s="173" t="str">
        <f aca="false">IF(F21=0,"",IF((ABS(F21-F19))&gt;(0.2*F21),CONCATENATE("ATTENTION : écart entre rec. par grp (",F19," %) ","et",""),""))</f>
        <v>ATTENTION : écart entre rec. par grp (10,275 %) et</v>
      </c>
      <c r="F21" s="174" t="n">
        <f aca="false">B21+C21</f>
        <v>5.17</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t="n">
        <v>0.01</v>
      </c>
      <c r="C23" s="196"/>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0.005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79</v>
      </c>
      <c r="B24" s="213" t="n">
        <v>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0.25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80</v>
      </c>
      <c r="B25" s="213" t="n">
        <v>0.5</v>
      </c>
      <c r="C25" s="214" t="n">
        <v>0.05</v>
      </c>
      <c r="D25" s="215" t="str">
        <f aca="false">IF(ISERROR(VLOOKUP($A25,'[1]liste reference'!$A$7:$D$906,2,0)),IF(ISERROR(VLOOKUP($A25,'[1]liste reference'!$B$7:$D$906,1,0)),"",VLOOKUP($A25,'[1]liste reference'!$B$7:$D$906,1,0)),VLOOKUP($A25,'[1]liste reference'!$A$7:$D$906,2,0))</f>
        <v>Lyngbya sp.</v>
      </c>
      <c r="E25" s="215" t="e">
        <f aca="false">IF(D25="",0,VLOOKUP(D25,D$22:D24,1,0))</f>
        <v>#N/A</v>
      </c>
      <c r="F25" s="216" t="n">
        <f aca="false">($B25*$B$7+$C25*$C$7)/100</f>
        <v>0.275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Lyngbya sp.</v>
      </c>
      <c r="L25" s="220"/>
      <c r="M25" s="220"/>
      <c r="N25" s="220"/>
      <c r="O25" s="205"/>
      <c r="P25" s="206" t="n">
        <f aca="false">IF(ISTEXT(H25),"",(B25*$B$7/100)+(C25*$C$7/100))</f>
        <v>0.275</v>
      </c>
      <c r="Q25" s="207" t="n">
        <f aca="false">IF(OR(ISTEXT(H25),P25=0),"",IF(P25&lt;0.1,1,IF(P25&lt;1,2,IF(P25&lt;10,3,IF(P25&lt;50,4,IF(P25&gt;=50,5,""))))))</f>
        <v>2</v>
      </c>
      <c r="R25" s="207" t="n">
        <f aca="false">IF(ISERROR(Q25*I25),0,Q25*I25)</f>
        <v>20</v>
      </c>
      <c r="S25" s="207" t="n">
        <f aca="false">IF(ISERROR(Q25*I25*J25),0,Q25*I25*J25)</f>
        <v>40</v>
      </c>
      <c r="T25" s="221" t="n">
        <f aca="false">IF(ISERROR(Q25*J25),0,Q25*J25)</f>
        <v>4</v>
      </c>
      <c r="U25" s="208" t="str">
        <f aca="false">IF(AND(A25="",F25=0),"",IF(F25=0,"Il manque le(s) % de rec. !",""))</f>
        <v/>
      </c>
      <c r="V25" s="209"/>
      <c r="X25" s="207" t="str">
        <f aca="false">IF(A25="new.cod","NEW.COD",IF(AND((Y25=""),ISTEXT(A25)),A25,IF(Y25="","",INDEX('[1]liste reference'!$A$7:$A$906,Y25))))</f>
        <v>LYN.SPX</v>
      </c>
      <c r="Y25" s="8" t="n">
        <f aca="false">IF(ISERROR(MATCH(A25,'[1]liste reference'!$A$7:$A$906,0)),IF(ISERROR(MATCH(A25,'[1]liste reference'!$B$7:$B$906,0)),"",(MATCH(A25,'[1]liste reference'!$B$7:$B$906,0))),(MATCH(A25,'[1]liste reference'!$A$7:$A$906,0)))</f>
        <v>36</v>
      </c>
      <c r="Z25" s="210"/>
      <c r="AA25" s="211"/>
      <c r="BB25" s="8" t="n">
        <f aca="false">IF(A25="","",1)</f>
        <v>1</v>
      </c>
    </row>
    <row r="26" customFormat="false" ht="12.75" hidden="false" customHeight="false" outlineLevel="0" collapsed="false">
      <c r="A26" s="212" t="s">
        <v>81</v>
      </c>
      <c r="B26" s="213"/>
      <c r="C26" s="214" t="n">
        <v>0.05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0.025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0.025</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82</v>
      </c>
      <c r="B27" s="213" t="n">
        <v>0.05</v>
      </c>
      <c r="C27" s="214"/>
      <c r="D27" s="215" t="str">
        <f aca="false">IF(ISERROR(VLOOKUP($A27,'[1]liste reference'!$A$7:$D$906,2,0)),IF(ISERROR(VLOOKUP($A27,'[1]liste reference'!$B$7:$D$906,1,0)),"",VLOOKUP($A27,'[1]liste reference'!$B$7:$D$906,1,0)),VLOOKUP($A27,'[1]liste reference'!$A$7:$D$906,2,0))</f>
        <v>Nostoc sp.       </v>
      </c>
      <c r="E27" s="215" t="e">
        <f aca="false">IF(D27="",0,VLOOKUP(D27,D$22:D26,1,0))</f>
        <v>#N/A</v>
      </c>
      <c r="F27" s="216" t="n">
        <f aca="false">($B27*$B$7+$C27*$C$7)/100</f>
        <v>0.025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9</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Nostoc sp.       </v>
      </c>
      <c r="L27" s="220"/>
      <c r="M27" s="220"/>
      <c r="N27" s="220"/>
      <c r="O27" s="205"/>
      <c r="P27" s="206" t="n">
        <f aca="false">IF(ISTEXT(H27),"",(B27*$B$7/100)+(C27*$C$7/100))</f>
        <v>0.025</v>
      </c>
      <c r="Q27" s="207" t="n">
        <f aca="false">IF(OR(ISTEXT(H27),P27=0),"",IF(P27&lt;0.1,1,IF(P27&lt;1,2,IF(P27&lt;10,3,IF(P27&lt;50,4,IF(P27&gt;=50,5,""))))))</f>
        <v>1</v>
      </c>
      <c r="R27" s="207" t="n">
        <f aca="false">IF(ISERROR(Q27*I27),0,Q27*I27)</f>
        <v>9</v>
      </c>
      <c r="S27" s="207" t="n">
        <f aca="false">IF(ISERROR(Q27*I27*J27),0,Q27*I27*J27)</f>
        <v>9</v>
      </c>
      <c r="T27" s="221" t="n">
        <f aca="false">IF(ISERROR(Q27*J27),0,Q27*J27)</f>
        <v>1</v>
      </c>
      <c r="U27" s="208" t="str">
        <f aca="false">IF(AND(A27="",F27=0),"",IF(F27=0,"Il manque le(s) % de rec. !",""))</f>
        <v/>
      </c>
      <c r="V27" s="209"/>
      <c r="X27" s="207" t="str">
        <f aca="false">IF(A27="new.cod","NEW.COD",IF(AND((Y27=""),ISTEXT(A27)),A27,IF(Y27="","",INDEX('[1]liste reference'!$A$7:$A$906,Y27))))</f>
        <v>NOS.SPX</v>
      </c>
      <c r="Y27" s="8" t="n">
        <f aca="false">IF(ISERROR(MATCH(A27,'[1]liste reference'!$A$7:$A$906,0)),IF(ISERROR(MATCH(A27,'[1]liste reference'!$B$7:$B$906,0)),"",(MATCH(A27,'[1]liste reference'!$B$7:$B$906,0))),(MATCH(A27,'[1]liste reference'!$A$7:$A$906,0)))</f>
        <v>55</v>
      </c>
      <c r="Z27" s="210"/>
      <c r="AA27" s="211"/>
      <c r="BB27" s="8" t="n">
        <f aca="false">IF(A27="","",1)</f>
        <v>1</v>
      </c>
    </row>
    <row r="28" customFormat="false" ht="12.75" hidden="false" customHeight="false" outlineLevel="0" collapsed="false">
      <c r="A28" s="212" t="s">
        <v>83</v>
      </c>
      <c r="B28" s="213" t="n">
        <v>0.05</v>
      </c>
      <c r="C28" s="214"/>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0.025</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84</v>
      </c>
      <c r="B29" s="213" t="n">
        <v>0.05</v>
      </c>
      <c r="C29" s="214" t="n">
        <v>0.05</v>
      </c>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0.05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0"/>
      <c r="M29" s="220"/>
      <c r="N29" s="220"/>
      <c r="O29" s="205"/>
      <c r="P29" s="206" t="n">
        <f aca="false">IF(ISTEXT(H29),"",(B29*$B$7/100)+(C29*$C$7/100))</f>
        <v>0.05</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85</v>
      </c>
      <c r="B30" s="213"/>
      <c r="C30" s="214" t="n">
        <v>0.05</v>
      </c>
      <c r="D30" s="215" t="str">
        <f aca="false">IF(ISERROR(VLOOKUP($A30,'[1]liste reference'!$A$7:$D$906,2,0)),IF(ISERROR(VLOOKUP($A30,'[1]liste reference'!$B$7:$D$906,1,0)),"",VLOOKUP($A30,'[1]liste reference'!$B$7:$D$906,1,0)),VLOOKUP($A30,'[1]liste reference'!$A$7:$D$906,2,0))</f>
        <v>Dermatocarpon weberi</v>
      </c>
      <c r="E30" s="215" t="e">
        <f aca="false">IF(D30="",0,VLOOKUP(D30,D$22:D29,1,0))</f>
        <v>#N/A</v>
      </c>
      <c r="F30" s="216" t="n">
        <f aca="false">($B30*$B$7+$C30*$C$7)/100</f>
        <v>0.025</v>
      </c>
      <c r="G30" s="217"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20"/>
      <c r="M30" s="220"/>
      <c r="N30" s="220"/>
      <c r="O30" s="205"/>
      <c r="P30" s="206" t="n">
        <f aca="false">IF(ISTEXT(H30),"",(B30*$B$7/100)+(C30*$C$7/100))</f>
        <v>0.025</v>
      </c>
      <c r="Q30" s="207" t="n">
        <f aca="false">IF(OR(ISTEXT(H30),P30=0),"",IF(P30&lt;0.1,1,IF(P30&lt;1,2,IF(P30&lt;10,3,IF(P30&lt;50,4,IF(P30&gt;=50,5,""))))))</f>
        <v>1</v>
      </c>
      <c r="R30" s="207" t="n">
        <f aca="false">IF(ISERROR(Q30*I30),0,Q30*I30)</f>
        <v>16</v>
      </c>
      <c r="S30" s="207" t="n">
        <f aca="false">IF(ISERROR(Q30*I30*J30),0,Q30*I30*J30)</f>
        <v>48</v>
      </c>
      <c r="T30" s="221" t="n">
        <f aca="false">IF(ISERROR(Q30*J30),0,Q30*J30)</f>
        <v>3</v>
      </c>
      <c r="U30" s="208" t="str">
        <f aca="false">IF(AND(A30="",F30=0),"",IF(F30=0,"Il manque le(s) % de rec. !",""))</f>
        <v/>
      </c>
      <c r="V30" s="209"/>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75" hidden="false" customHeight="false" outlineLevel="0" collapsed="false">
      <c r="A31" s="212" t="s">
        <v>86</v>
      </c>
      <c r="B31" s="213" t="n">
        <v>0.05</v>
      </c>
      <c r="C31" s="214"/>
      <c r="D31" s="215" t="str">
        <f aca="false">IF(ISERROR(VLOOKUP($A31,'[1]liste reference'!$A$7:$D$906,2,0)),IF(ISERROR(VLOOKUP($A31,'[1]liste reference'!$B$7:$D$906,1,0)),"",VLOOKUP($A31,'[1]liste reference'!$B$7:$D$906,1,0)),VLOOKUP($A31,'[1]liste reference'!$A$7:$D$906,2,0))</f>
        <v>Chiloscyphus polyanthos var. polyanthos (C. polyanthos)</v>
      </c>
      <c r="E31" s="215" t="e">
        <f aca="false">IF(D31="",0,VLOOKUP(D31,D$22:D30,1,0))</f>
        <v>#N/A</v>
      </c>
      <c r="F31" s="216" t="n">
        <f aca="false">($B31*$B$7+$C31*$C$7)/100</f>
        <v>0.025</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Chiloscyphus polyanthos var. polyanthos (C. polyanthos)</v>
      </c>
      <c r="L31" s="220"/>
      <c r="M31" s="220"/>
      <c r="N31" s="220"/>
      <c r="O31" s="205"/>
      <c r="P31" s="206" t="n">
        <f aca="false">IF(ISTEXT(H31),"",(B31*$B$7/100)+(C31*$C$7/100))</f>
        <v>0.025</v>
      </c>
      <c r="Q31" s="207" t="n">
        <f aca="false">IF(OR(ISTEXT(H31),P31=0),"",IF(P31&lt;0.1,1,IF(P31&lt;1,2,IF(P31&lt;10,3,IF(P31&lt;50,4,IF(P31&gt;=50,5,""))))))</f>
        <v>1</v>
      </c>
      <c r="R31" s="207" t="n">
        <f aca="false">IF(ISERROR(Q31*I31),0,Q31*I31)</f>
        <v>15</v>
      </c>
      <c r="S31" s="207" t="n">
        <f aca="false">IF(ISERROR(Q31*I31*J31),0,Q31*I31*J31)</f>
        <v>30</v>
      </c>
      <c r="T31" s="221" t="n">
        <f aca="false">IF(ISERROR(Q31*J31),0,Q31*J31)</f>
        <v>2</v>
      </c>
      <c r="U31" s="208" t="str">
        <f aca="false">IF(AND(A31="",F31=0),"",IF(F31=0,"Il manque le(s) % de rec. !",""))</f>
        <v/>
      </c>
      <c r="V31" s="209"/>
      <c r="X31" s="207" t="str">
        <f aca="false">IF(A31="new.cod","NEW.COD",IF(AND((Y31=""),ISTEXT(A31)),A31,IF(Y31="","",INDEX('[1]liste reference'!$A$7:$A$906,Y31))))</f>
        <v>CHI.POL</v>
      </c>
      <c r="Y31" s="8" t="n">
        <f aca="false">IF(ISERROR(MATCH(A31,'[1]liste reference'!$A$7:$A$906,0)),IF(ISERROR(MATCH(A31,'[1]liste reference'!$B$7:$B$906,0)),"",(MATCH(A31,'[1]liste reference'!$B$7:$B$906,0))),(MATCH(A31,'[1]liste reference'!$A$7:$A$906,0)))</f>
        <v>98</v>
      </c>
      <c r="Z31" s="210"/>
      <c r="AA31" s="211"/>
      <c r="BB31" s="8" t="n">
        <f aca="false">IF(A31="","",1)</f>
        <v>1</v>
      </c>
    </row>
    <row r="32" customFormat="false" ht="12.75" hidden="false" customHeight="false" outlineLevel="0" collapsed="false">
      <c r="A32" s="212" t="s">
        <v>87</v>
      </c>
      <c r="B32" s="213" t="n">
        <v>0.5</v>
      </c>
      <c r="C32" s="214" t="n">
        <v>0.05</v>
      </c>
      <c r="D32" s="215" t="str">
        <f aca="false">IF(ISERROR(VLOOKUP($A32,'[1]liste reference'!$A$7:$D$906,2,0)),IF(ISERROR(VLOOKUP($A32,'[1]liste reference'!$B$7:$D$906,1,0)),"",VLOOKUP($A32,'[1]liste reference'!$B$7:$D$906,1,0)),VLOOKUP($A32,'[1]liste reference'!$A$7:$D$906,2,0))</f>
        <v>Amblystegium fluviatile (Hygroamblystegium fluviatile)</v>
      </c>
      <c r="E32" s="215" t="e">
        <f aca="false">IF(D32="",0,VLOOKUP(D32,D$22:D31,1,0))</f>
        <v>#N/A</v>
      </c>
      <c r="F32" s="216" t="n">
        <f aca="false">($B32*$B$7+$C32*$C$7)/100</f>
        <v>0.275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fluviatile (Hygroamblystegium fluviatile)</v>
      </c>
      <c r="L32" s="220"/>
      <c r="M32" s="220"/>
      <c r="N32" s="220"/>
      <c r="O32" s="205"/>
      <c r="P32" s="206" t="n">
        <f aca="false">IF(ISTEXT(H32),"",(B32*$B$7/100)+(C32*$C$7/100))</f>
        <v>0.275</v>
      </c>
      <c r="Q32" s="207" t="n">
        <f aca="false">IF(OR(ISTEXT(H32),P32=0),"",IF(P32&lt;0.1,1,IF(P32&lt;1,2,IF(P32&lt;10,3,IF(P32&lt;50,4,IF(P32&gt;=50,5,""))))))</f>
        <v>2</v>
      </c>
      <c r="R32" s="207" t="n">
        <f aca="false">IF(ISERROR(Q32*I32),0,Q32*I32)</f>
        <v>22</v>
      </c>
      <c r="S32" s="207" t="n">
        <f aca="false">IF(ISERROR(Q32*I32*J32),0,Q32*I32*J32)</f>
        <v>44</v>
      </c>
      <c r="T32" s="221" t="n">
        <f aca="false">IF(ISERROR(Q32*J32),0,Q32*J32)</f>
        <v>4</v>
      </c>
      <c r="U32" s="208" t="str">
        <f aca="false">IF(AND(A32="",F32=0),"",IF(F32=0,"Il manque le(s) % de rec. !",""))</f>
        <v/>
      </c>
      <c r="V32" s="209"/>
      <c r="X32" s="207" t="str">
        <f aca="false">IF(A32="new.cod","NEW.COD",IF(AND((Y32=""),ISTEXT(A32)),A32,IF(Y32="","",INDEX('[1]liste reference'!$A$7:$A$906,Y32))))</f>
        <v>AMB.FLU</v>
      </c>
      <c r="Y32" s="8" t="n">
        <f aca="false">IF(ISERROR(MATCH(A32,'[1]liste reference'!$A$7:$A$906,0)),IF(ISERROR(MATCH(A32,'[1]liste reference'!$B$7:$B$906,0)),"",(MATCH(A32,'[1]liste reference'!$B$7:$B$906,0))),(MATCH(A32,'[1]liste reference'!$A$7:$A$906,0)))</f>
        <v>148</v>
      </c>
      <c r="Z32" s="210"/>
      <c r="AA32" s="211"/>
      <c r="BB32" s="8" t="n">
        <f aca="false">IF(A32="","",1)</f>
        <v>1</v>
      </c>
    </row>
    <row r="33" customFormat="false" ht="12.75" hidden="false" customHeight="false" outlineLevel="0" collapsed="false">
      <c r="A33" s="212" t="s">
        <v>88</v>
      </c>
      <c r="B33" s="213" t="n">
        <v>0.01</v>
      </c>
      <c r="C33" s="213"/>
      <c r="D33" s="215" t="str">
        <f aca="false">IF(ISERROR(VLOOKUP($A33,'[1]liste reference'!$A$7:$D$906,2,0)),IF(ISERROR(VLOOKUP($A33,'[1]liste reference'!$B$7:$D$906,1,0)),"",VLOOKUP($A33,'[1]liste reference'!$B$7:$D$906,1,0)),VLOOKUP($A33,'[1]liste reference'!$A$7:$D$906,2,0))</f>
        <v>Brachythecium rivulare</v>
      </c>
      <c r="E33" s="215" t="e">
        <f aca="false">IF(D33="",0,VLOOKUP(D33,D$22:D32,1,0))</f>
        <v>#N/A</v>
      </c>
      <c r="F33" s="216" t="n">
        <f aca="false">($B33*$B$7+$C33*$C$7)/100</f>
        <v>0.005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Brachythecium rivulare</v>
      </c>
      <c r="L33" s="220"/>
      <c r="M33" s="220"/>
      <c r="N33" s="220"/>
      <c r="O33" s="205"/>
      <c r="P33" s="206" t="n">
        <f aca="false">IF(ISTEXT(H33),"",(B33*$B$7/100)+(C33*$C$7/100))</f>
        <v>0.005</v>
      </c>
      <c r="Q33" s="207" t="n">
        <f aca="false">IF(OR(ISTEXT(H33),P33=0),"",IF(P33&lt;0.1,1,IF(P33&lt;1,2,IF(P33&lt;10,3,IF(P33&lt;50,4,IF(P33&gt;=50,5,""))))))</f>
        <v>1</v>
      </c>
      <c r="R33" s="207" t="n">
        <f aca="false">IF(ISERROR(Q33*I33),0,Q33*I33)</f>
        <v>15</v>
      </c>
      <c r="S33" s="207" t="n">
        <f aca="false">IF(ISERROR(Q33*I33*J33),0,Q33*I33*J33)</f>
        <v>30</v>
      </c>
      <c r="T33" s="221" t="n">
        <f aca="false">IF(ISERROR(Q33*J33),0,Q33*J33)</f>
        <v>2</v>
      </c>
      <c r="U33" s="208" t="str">
        <f aca="false">IF(AND(A33="",F33=0),"",IF(F33=0,"Il manque le(s) % de rec. !",""))</f>
        <v/>
      </c>
      <c r="V33" s="209"/>
      <c r="X33" s="207" t="str">
        <f aca="false">IF(A33="new.cod","NEW.COD",IF(AND((Y33=""),ISTEXT(A33)),A33,IF(Y33="","",INDEX('[1]liste reference'!$A$7:$A$906,Y33))))</f>
        <v>BRA.RIV</v>
      </c>
      <c r="Y33" s="8" t="n">
        <f aca="false">IF(ISERROR(MATCH(A33,'[1]liste reference'!$A$7:$A$906,0)),IF(ISERROR(MATCH(A33,'[1]liste reference'!$B$7:$B$906,0)),"",(MATCH(A33,'[1]liste reference'!$B$7:$B$906,0))),(MATCH(A33,'[1]liste reference'!$A$7:$A$906,0)))</f>
        <v>156</v>
      </c>
      <c r="Z33" s="210"/>
      <c r="AA33" s="211"/>
      <c r="BB33" s="8" t="n">
        <f aca="false">IF(A33="","",1)</f>
        <v>1</v>
      </c>
    </row>
    <row r="34" customFormat="false" ht="12.75" hidden="false" customHeight="false" outlineLevel="0" collapsed="false">
      <c r="A34" s="212" t="s">
        <v>89</v>
      </c>
      <c r="B34" s="213" t="n">
        <v>0.01</v>
      </c>
      <c r="C34" s="214"/>
      <c r="D34" s="215" t="str">
        <f aca="false">IF(ISERROR(VLOOKUP($A34,'[1]liste reference'!$A$7:$D$906,2,0)),IF(ISERROR(VLOOKUP($A34,'[1]liste reference'!$B$7:$D$906,1,0)),"",VLOOKUP($A34,'[1]liste reference'!$B$7:$D$906,1,0)),VLOOKUP($A34,'[1]liste reference'!$A$7:$D$906,2,0))</f>
        <v>Cinclidotus sp.        </v>
      </c>
      <c r="E34" s="215" t="e">
        <f aca="false">IF(D34="",0,VLOOKUP(D34,D$22:D33,1,0))</f>
        <v>#N/A</v>
      </c>
      <c r="F34" s="222" t="n">
        <f aca="false">($B34*$B$7+$C34*$C$7)/100</f>
        <v>0.005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Cinclidotus sp.        </v>
      </c>
      <c r="L34" s="220"/>
      <c r="M34" s="220"/>
      <c r="N34" s="220"/>
      <c r="O34" s="205"/>
      <c r="P34" s="206" t="n">
        <f aca="false">IF(ISTEXT(H34),"",(B34*$B$7/100)+(C34*$C$7/100))</f>
        <v>0.005</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CIN.SPX</v>
      </c>
      <c r="Y34" s="8" t="n">
        <f aca="false">IF(ISERROR(MATCH(A34,'[1]liste reference'!$A$7:$A$906,0)),IF(ISERROR(MATCH(A34,'[1]liste reference'!$B$7:$B$906,0)),"",(MATCH(A34,'[1]liste reference'!$B$7:$B$906,0))),(MATCH(A34,'[1]liste reference'!$A$7:$A$906,0)))</f>
        <v>176</v>
      </c>
      <c r="Z34" s="210"/>
      <c r="AA34" s="211"/>
      <c r="BB34" s="8" t="n">
        <f aca="false">IF(A34="","",1)</f>
        <v>1</v>
      </c>
    </row>
    <row r="35" customFormat="false" ht="12.75" hidden="false" customHeight="false" outlineLevel="0" collapsed="false">
      <c r="A35" s="212" t="s">
        <v>90</v>
      </c>
      <c r="B35" s="213"/>
      <c r="C35" s="214" t="n">
        <v>0.05</v>
      </c>
      <c r="D35" s="215" t="str">
        <f aca="false">IF(ISERROR(VLOOKUP($A35,'[1]liste reference'!$A$7:$D$906,2,0)),IF(ISERROR(VLOOKUP($A35,'[1]liste reference'!$B$7:$D$906,1,0)),"",VLOOKUP($A35,'[1]liste reference'!$B$7:$D$906,1,0)),VLOOKUP($A35,'[1]liste reference'!$A$7:$D$906,2,0))</f>
        <v>Fissidens crassipes</v>
      </c>
      <c r="E35" s="215" t="e">
        <f aca="false">IF(D35="",0,VLOOKUP(D35,D$22:D34,1,0))</f>
        <v>#N/A</v>
      </c>
      <c r="F35" s="222" t="n">
        <f aca="false">($B35*$B$7+$C35*$C$7)/100</f>
        <v>0.025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20"/>
      <c r="M35" s="220"/>
      <c r="N35" s="220"/>
      <c r="O35" s="205"/>
      <c r="P35" s="206" t="n">
        <f aca="false">IF(ISTEXT(H35),"",(B35*$B$7/100)+(C35*$C$7/100))</f>
        <v>0.025</v>
      </c>
      <c r="Q35" s="207" t="n">
        <f aca="false">IF(OR(ISTEXT(H35),P35=0),"",IF(P35&lt;0.1,1,IF(P35&lt;1,2,IF(P35&lt;10,3,IF(P35&lt;50,4,IF(P35&gt;=50,5,""))))))</f>
        <v>1</v>
      </c>
      <c r="R35" s="207" t="n">
        <f aca="false">IF(ISERROR(Q35*I35),0,Q35*I35)</f>
        <v>12</v>
      </c>
      <c r="S35" s="207" t="n">
        <f aca="false">IF(ISERROR(Q35*I35*J35),0,Q35*I35*J35)</f>
        <v>24</v>
      </c>
      <c r="T35" s="221" t="n">
        <f aca="false">IF(ISERROR(Q35*J35),0,Q35*J35)</f>
        <v>2</v>
      </c>
      <c r="U35" s="208" t="str">
        <f aca="false">IF(AND(A35="",F35=0),"",IF(F35=0,"Il manque le(s) % de rec. !",""))</f>
        <v/>
      </c>
      <c r="V35" s="209"/>
      <c r="W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212" t="s">
        <v>91</v>
      </c>
      <c r="B36" s="213"/>
      <c r="C36" s="214" t="n">
        <v>0.05</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2" t="n">
        <f aca="false">($B36*$B$7+$C36*$C$7)/100</f>
        <v>0.025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0.025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15</v>
      </c>
      <c r="B37" s="213" t="n">
        <v>2.5</v>
      </c>
      <c r="C37" s="214" t="n">
        <v>0.5</v>
      </c>
      <c r="D37" s="215" t="str">
        <f aca="false">IF(ISERROR(VLOOKUP($A37,'[1]liste reference'!$A$7:$D$906,2,0)),IF(ISERROR(VLOOKUP($A37,'[1]liste reference'!$B$7:$D$906,1,0)),"",VLOOKUP($A37,'[1]liste reference'!$B$7:$D$906,1,0)),VLOOKUP($A37,'[1]liste reference'!$A$7:$D$906,2,0))</f>
        <v>Fontinalis squamosa</v>
      </c>
      <c r="E37" s="215" t="e">
        <f aca="false">IF(D37="",0,VLOOKUP(D37,D$22:D36,1,0))</f>
        <v>#N/A</v>
      </c>
      <c r="F37" s="222" t="n">
        <f aca="false">($B37*$B$7+$C37*$C$7)/100</f>
        <v>1.5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16</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Fontinalis squamosa</v>
      </c>
      <c r="L37" s="220"/>
      <c r="M37" s="220"/>
      <c r="N37" s="220"/>
      <c r="O37" s="205"/>
      <c r="P37" s="206" t="n">
        <f aca="false">IF(ISTEXT(H37),"",(B37*$B$7/100)+(C37*$C$7/100))</f>
        <v>1.5</v>
      </c>
      <c r="Q37" s="207" t="n">
        <f aca="false">IF(OR(ISTEXT(H37),P37=0),"",IF(P37&lt;0.1,1,IF(P37&lt;1,2,IF(P37&lt;10,3,IF(P37&lt;50,4,IF(P37&gt;=50,5,""))))))</f>
        <v>3</v>
      </c>
      <c r="R37" s="207" t="n">
        <f aca="false">IF(ISERROR(Q37*I37),0,Q37*I37)</f>
        <v>48</v>
      </c>
      <c r="S37" s="207" t="n">
        <f aca="false">IF(ISERROR(Q37*I37*J37),0,Q37*I37*J37)</f>
        <v>144</v>
      </c>
      <c r="T37" s="221" t="n">
        <f aca="false">IF(ISERROR(Q37*J37),0,Q37*J37)</f>
        <v>9</v>
      </c>
      <c r="U37" s="208" t="str">
        <f aca="false">IF(AND(A37="",F37=0),"",IF(F37=0,"Il manque le(s) % de rec. !",""))</f>
        <v/>
      </c>
      <c r="V37" s="209"/>
      <c r="X37" s="207" t="str">
        <f aca="false">IF(A37="new.cod","NEW.COD",IF(AND((Y37=""),ISTEXT(A37)),A37,IF(Y37="","",INDEX('[1]liste reference'!$A$7:$A$906,Y37))))</f>
        <v>FON.SQU</v>
      </c>
      <c r="Y37" s="8" t="n">
        <f aca="false">IF(ISERROR(MATCH(A37,'[1]liste reference'!$A$7:$A$906,0)),IF(ISERROR(MATCH(A37,'[1]liste reference'!$B$7:$B$906,0)),"",(MATCH(A37,'[1]liste reference'!$B$7:$B$906,0))),(MATCH(A37,'[1]liste reference'!$A$7:$A$906,0)))</f>
        <v>215</v>
      </c>
      <c r="Z37" s="210"/>
      <c r="AA37" s="211"/>
      <c r="BB37" s="8" t="n">
        <f aca="false">IF(A37="","",1)</f>
        <v>1</v>
      </c>
    </row>
    <row r="38" customFormat="false" ht="12.75" hidden="false" customHeight="false" outlineLevel="0" collapsed="false">
      <c r="A38" s="212" t="s">
        <v>92</v>
      </c>
      <c r="B38" s="213" t="n">
        <v>0.5</v>
      </c>
      <c r="C38" s="214" t="n">
        <v>0.5</v>
      </c>
      <c r="D38" s="215" t="str">
        <f aca="false">IF(ISERROR(VLOOKUP($A38,'[1]liste reference'!$A$7:$D$906,2,0)),IF(ISERROR(VLOOKUP($A38,'[1]liste reference'!$B$7:$D$906,1,0)),"",VLOOKUP($A38,'[1]liste reference'!$B$7:$D$906,1,0)),VLOOKUP($A38,'[1]liste reference'!$A$7:$D$906,2,0))</f>
        <v>Rhynchostegium riparioides (Platyhypnidium rusciforme)</v>
      </c>
      <c r="E38" s="215" t="e">
        <f aca="false">IF(D38="",0,VLOOKUP(D38,D$22:D37,1,0))</f>
        <v>#N/A</v>
      </c>
      <c r="F38" s="222" t="n">
        <f aca="false">($B38*$B$7+$C38*$C$7)/100</f>
        <v>0.5</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Rhynchostegium riparioides (Platyhypnidium rusciforme)</v>
      </c>
      <c r="L38" s="220"/>
      <c r="M38" s="220"/>
      <c r="N38" s="220"/>
      <c r="O38" s="205"/>
      <c r="P38" s="206" t="n">
        <f aca="false">IF(ISTEXT(H38),"",(B38*$B$7/100)+(C38*$C$7/100))</f>
        <v>0.5</v>
      </c>
      <c r="Q38" s="207" t="n">
        <f aca="false">IF(OR(ISTEXT(H38),P38=0),"",IF(P38&lt;0.1,1,IF(P38&lt;1,2,IF(P38&lt;10,3,IF(P38&lt;50,4,IF(P38&gt;=50,5,""))))))</f>
        <v>2</v>
      </c>
      <c r="R38" s="207" t="n">
        <f aca="false">IF(ISERROR(Q38*I38),0,Q38*I38)</f>
        <v>24</v>
      </c>
      <c r="S38" s="207" t="n">
        <f aca="false">IF(ISERROR(Q38*I38*J38),0,Q38*I38*J38)</f>
        <v>24</v>
      </c>
      <c r="T38" s="221" t="n">
        <f aca="false">IF(ISERROR(Q38*J38),0,Q38*J38)</f>
        <v>2</v>
      </c>
      <c r="U38" s="208" t="str">
        <f aca="false">IF(AND(A38="",F38=0),"",IF(F38=0,"Il manque le(s) % de rec. !",""))</f>
        <v/>
      </c>
      <c r="V38" s="209"/>
      <c r="X38" s="207" t="str">
        <f aca="false">IF(A38="new.cod","NEW.COD",IF(AND((Y38=""),ISTEXT(A38)),A38,IF(Y38="","",INDEX('[1]liste reference'!$A$7:$A$906,Y38))))</f>
        <v>RHY.RIP</v>
      </c>
      <c r="Y38" s="8" t="n">
        <f aca="false">IF(ISERROR(MATCH(A38,'[1]liste reference'!$A$7:$A$906,0)),IF(ISERROR(MATCH(A38,'[1]liste reference'!$B$7:$B$906,0)),"",(MATCH(A38,'[1]liste reference'!$B$7:$B$906,0))),(MATCH(A38,'[1]liste reference'!$A$7:$A$906,0)))</f>
        <v>253</v>
      </c>
      <c r="Z38" s="210"/>
      <c r="AA38" s="211"/>
      <c r="BB38" s="8" t="n">
        <f aca="false">IF(A38="","",1)</f>
        <v>1</v>
      </c>
    </row>
    <row r="39" customFormat="false" ht="12.75" hidden="false" customHeight="false" outlineLevel="0" collapsed="false">
      <c r="A39" s="212" t="s">
        <v>93</v>
      </c>
      <c r="B39" s="213"/>
      <c r="C39" s="214" t="n">
        <v>0.05</v>
      </c>
      <c r="D39" s="215" t="str">
        <f aca="false">IF(ISERROR(VLOOKUP($A39,'[1]liste reference'!$A$7:$D$906,2,0)),IF(ISERROR(VLOOKUP($A39,'[1]liste reference'!$B$7:$D$906,1,0)),"",VLOOKUP($A39,'[1]liste reference'!$B$7:$D$906,1,0)),VLOOKUP($A39,'[1]liste reference'!$A$7:$D$906,2,0))</f>
        <v>Potamogeton crispus</v>
      </c>
      <c r="E39" s="215" t="e">
        <f aca="false">IF(D39="",0,VLOOKUP(D39,D$22:D38,1,0))</f>
        <v>#N/A</v>
      </c>
      <c r="F39" s="222" t="n">
        <f aca="false">($B39*$B$7+$C39*$C$7)/100</f>
        <v>0.025</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7</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Potamogeton crispus</v>
      </c>
      <c r="L39" s="223"/>
      <c r="M39" s="223"/>
      <c r="N39" s="223"/>
      <c r="O39" s="224"/>
      <c r="P39" s="206" t="n">
        <f aca="false">IF(ISTEXT(H39),"",(B39*$B$7/100)+(C39*$C$7/100))</f>
        <v>0.025</v>
      </c>
      <c r="Q39" s="207" t="n">
        <f aca="false">IF(OR(ISTEXT(H39),P39=0),"",IF(P39&lt;0.1,1,IF(P39&lt;1,2,IF(P39&lt;10,3,IF(P39&lt;50,4,IF(P39&gt;=50,5,""))))))</f>
        <v>1</v>
      </c>
      <c r="R39" s="207" t="n">
        <f aca="false">IF(ISERROR(Q39*I39),0,Q39*I39)</f>
        <v>7</v>
      </c>
      <c r="S39" s="207" t="n">
        <f aca="false">IF(ISERROR(Q39*I39*J39),0,Q39*I39*J39)</f>
        <v>14</v>
      </c>
      <c r="T39" s="221" t="n">
        <f aca="false">IF(ISERROR(Q39*J39),0,Q39*J39)</f>
        <v>2</v>
      </c>
      <c r="U39" s="208" t="str">
        <f aca="false">IF(AND(A39="",F39=0),"",IF(F39=0,"Il manque le(s) % de rec. !",""))</f>
        <v/>
      </c>
      <c r="V39" s="209"/>
      <c r="X39" s="207" t="str">
        <f aca="false">IF(A39="new.cod","NEW.COD",IF(AND((Y39=""),ISTEXT(A39)),A39,IF(Y39="","",INDEX('[1]liste reference'!$A$7:$A$906,Y39))))</f>
        <v>POT.CRI</v>
      </c>
      <c r="Y39" s="8" t="n">
        <f aca="false">IF(ISERROR(MATCH(A39,'[1]liste reference'!$A$7:$A$906,0)),IF(ISERROR(MATCH(A39,'[1]liste reference'!$B$7:$B$906,0)),"",(MATCH(A39,'[1]liste reference'!$B$7:$B$906,0))),(MATCH(A39,'[1]liste reference'!$A$7:$A$906,0)))</f>
        <v>413</v>
      </c>
      <c r="Z39" s="210"/>
      <c r="AA39" s="211"/>
      <c r="BB39" s="8" t="n">
        <f aca="false">IF(A39="","",1)</f>
        <v>1</v>
      </c>
    </row>
    <row r="40" customFormat="false" ht="12.75" hidden="false" customHeight="false" outlineLevel="0" collapsed="false">
      <c r="A40" s="212" t="s">
        <v>94</v>
      </c>
      <c r="B40" s="213"/>
      <c r="C40" s="214" t="n">
        <v>0.05</v>
      </c>
      <c r="D40" s="215" t="str">
        <f aca="false">IF(ISERROR(VLOOKUP($A40,'[1]liste reference'!$A$7:$D$906,2,0)),IF(ISERROR(VLOOKUP($A40,'[1]liste reference'!$B$7:$D$906,1,0)),"",VLOOKUP($A40,'[1]liste reference'!$B$7:$D$906,1,0)),VLOOKUP($A40,'[1]liste reference'!$A$7:$D$906,2,0))</f>
        <v>Eleocharis palustris</v>
      </c>
      <c r="E40" s="215" t="e">
        <f aca="false">IF(D40="",0,VLOOKUP(D40,D$22:D39,1,0))</f>
        <v>#N/A</v>
      </c>
      <c r="F40" s="222" t="n">
        <f aca="false">($B40*$B$7+$C40*$C$7)/100</f>
        <v>0.025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Eleocharis palustris</v>
      </c>
      <c r="L40" s="220"/>
      <c r="M40" s="220"/>
      <c r="N40" s="220"/>
      <c r="O40" s="205"/>
      <c r="P40" s="206" t="n">
        <f aca="false">IF(ISTEXT(H40),"",(B40*$B$7/100)+(C40*$C$7/100))</f>
        <v>0.025</v>
      </c>
      <c r="Q40" s="207" t="n">
        <f aca="false">IF(OR(ISTEXT(H40),P40=0),"",IF(P40&lt;0.1,1,IF(P40&lt;1,2,IF(P40&lt;10,3,IF(P40&lt;50,4,IF(P40&gt;=50,5,""))))))</f>
        <v>1</v>
      </c>
      <c r="R40" s="207" t="n">
        <f aca="false">IF(ISERROR(Q40*I40),0,Q40*I40)</f>
        <v>12</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ELE.PAL</v>
      </c>
      <c r="Y40" s="8" t="n">
        <f aca="false">IF(ISERROR(MATCH(A40,'[1]liste reference'!$A$7:$A$906,0)),IF(ISERROR(MATCH(A40,'[1]liste reference'!$B$7:$B$906,0)),"",(MATCH(A40,'[1]liste reference'!$B$7:$B$906,0))),(MATCH(A40,'[1]liste reference'!$A$7:$A$906,0)))</f>
        <v>566</v>
      </c>
      <c r="Z40" s="210"/>
      <c r="AA40" s="211"/>
      <c r="BB40" s="8" t="n">
        <f aca="false">IF(A40="","",1)</f>
        <v>1</v>
      </c>
    </row>
    <row r="41" customFormat="false" ht="12.75" hidden="false" customHeight="false" outlineLevel="0" collapsed="false">
      <c r="A41" s="212" t="s">
        <v>95</v>
      </c>
      <c r="B41" s="213"/>
      <c r="C41" s="214" t="n">
        <v>0.5</v>
      </c>
      <c r="D41" s="215" t="str">
        <f aca="false">IF(ISERROR(VLOOKUP($A41,'[1]liste reference'!$A$7:$D$906,2,0)),IF(ISERROR(VLOOKUP($A41,'[1]liste reference'!$B$7:$D$906,1,0)),"",VLOOKUP($A41,'[1]liste reference'!$B$7:$D$906,1,0)),VLOOKUP($A41,'[1]liste reference'!$A$7:$D$906,2,0))</f>
        <v>Glyceria fluitans</v>
      </c>
      <c r="E41" s="215" t="e">
        <f aca="false">IF(D41="",0,VLOOKUP(D41,D$22:D40,1,0))</f>
        <v>#N/A</v>
      </c>
      <c r="F41" s="222" t="n">
        <f aca="false">($B41*$B$7+$C41*$C$7)/100</f>
        <v>0.25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14</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Glyceria fluitans</v>
      </c>
      <c r="L41" s="220"/>
      <c r="M41" s="220"/>
      <c r="N41" s="220"/>
      <c r="O41" s="205"/>
      <c r="P41" s="206" t="n">
        <f aca="false">IF(ISTEXT(H41),"",(B41*$B$7/100)+(C41*$C$7/100))</f>
        <v>0.25</v>
      </c>
      <c r="Q41" s="207" t="n">
        <f aca="false">IF(OR(ISTEXT(H41),P41=0),"",IF(P41&lt;0.1,1,IF(P41&lt;1,2,IF(P41&lt;10,3,IF(P41&lt;50,4,IF(P41&gt;=50,5,""))))))</f>
        <v>2</v>
      </c>
      <c r="R41" s="207" t="n">
        <f aca="false">IF(ISERROR(Q41*I41),0,Q41*I41)</f>
        <v>28</v>
      </c>
      <c r="S41" s="207" t="n">
        <f aca="false">IF(ISERROR(Q41*I41*J41),0,Q41*I41*J41)</f>
        <v>56</v>
      </c>
      <c r="T41" s="221" t="n">
        <f aca="false">IF(ISERROR(Q41*J41),0,Q41*J41)</f>
        <v>4</v>
      </c>
      <c r="U41" s="208" t="str">
        <f aca="false">IF(AND(A41="",F41=0),"",IF(F41=0,"Il manque le(s) % de rec. !",""))</f>
        <v/>
      </c>
      <c r="V41" s="209"/>
      <c r="X41" s="207" t="str">
        <f aca="false">IF(A41="new.cod","NEW.COD",IF(AND((Y41=""),ISTEXT(A41)),A41,IF(Y41="","",INDEX('[1]liste reference'!$A$7:$A$906,Y41))))</f>
        <v>GLY.FLU</v>
      </c>
      <c r="Y41" s="8" t="n">
        <f aca="false">IF(ISERROR(MATCH(A41,'[1]liste reference'!$A$7:$A$906,0)),IF(ISERROR(MATCH(A41,'[1]liste reference'!$B$7:$B$906,0)),"",(MATCH(A41,'[1]liste reference'!$B$7:$B$906,0))),(MATCH(A41,'[1]liste reference'!$A$7:$A$906,0)))</f>
        <v>580</v>
      </c>
      <c r="Z41" s="210"/>
      <c r="AA41" s="211"/>
      <c r="BB41" s="8" t="n">
        <f aca="false">IF(A41="","",1)</f>
        <v>1</v>
      </c>
    </row>
    <row r="42" customFormat="false" ht="12.75" hidden="false" customHeight="false" outlineLevel="0" collapsed="false">
      <c r="A42" s="212" t="s">
        <v>96</v>
      </c>
      <c r="B42" s="213"/>
      <c r="C42" s="214" t="n">
        <v>0.05</v>
      </c>
      <c r="D42" s="215" t="str">
        <f aca="false">IF(ISERROR(VLOOKUP($A42,'[1]liste reference'!$A$7:$D$906,2,0)),IF(ISERROR(VLOOKUP($A42,'[1]liste reference'!$B$7:$D$906,1,0)),"",VLOOKUP($A42,'[1]liste reference'!$B$7:$D$906,1,0)),VLOOKUP($A42,'[1]liste reference'!$A$7:$D$906,2,0))</f>
        <v>Iris pseudacorus</v>
      </c>
      <c r="E42" s="215" t="e">
        <f aca="false">IF(D42="",0,VLOOKUP(D42,D$21:D41,1,0))</f>
        <v>#N/A</v>
      </c>
      <c r="F42" s="222" t="n">
        <f aca="false">($B42*$B$7+$C42*$C$7)/100</f>
        <v>0.025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Iris pseudacorus</v>
      </c>
      <c r="L42" s="220"/>
      <c r="M42" s="220"/>
      <c r="N42" s="220"/>
      <c r="O42" s="205"/>
      <c r="P42" s="206" t="n">
        <f aca="false">IF(ISTEXT(H42),"",(B42*$B$7/100)+(C42*$C$7/100))</f>
        <v>0.025</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W42" s="225"/>
      <c r="X42" s="207" t="str">
        <f aca="false">IF(A42="new.cod","NEW.COD",IF(AND((Y42=""),ISTEXT(A42)),A42,IF(Y42="","",INDEX('[1]liste reference'!$A$7:$A$906,Y42))))</f>
        <v>IRI.PSE</v>
      </c>
      <c r="Y42" s="8" t="n">
        <f aca="false">IF(ISERROR(MATCH(A42,'[1]liste reference'!$A$7:$A$906,0)),IF(ISERROR(MATCH(A42,'[1]liste reference'!$B$7:$B$906,0)),"",(MATCH(A42,'[1]liste reference'!$B$7:$B$906,0))),(MATCH(A42,'[1]liste reference'!$A$7:$A$906,0)))</f>
        <v>588</v>
      </c>
      <c r="Z42" s="210"/>
      <c r="AA42" s="211"/>
      <c r="BB42" s="8" t="n">
        <f aca="false">IF(A42="","",1)</f>
        <v>1</v>
      </c>
    </row>
    <row r="43" customFormat="false" ht="12.75" hidden="false" customHeight="false" outlineLevel="0" collapsed="false">
      <c r="A43" s="212" t="s">
        <v>97</v>
      </c>
      <c r="B43" s="213"/>
      <c r="C43" s="214" t="n">
        <v>0.01</v>
      </c>
      <c r="D43" s="215" t="str">
        <f aca="false">IF(ISERROR(VLOOKUP($A43,'[1]liste reference'!$A$7:$D$906,2,0)),IF(ISERROR(VLOOKUP($A43,'[1]liste reference'!$B$7:$D$906,1,0)),"",VLOOKUP($A43,'[1]liste reference'!$B$7:$D$906,1,0)),VLOOKUP($A43,'[1]liste reference'!$A$7:$D$906,2,0))</f>
        <v>Mentha sp.</v>
      </c>
      <c r="E43" s="215" t="e">
        <f aca="false">IF(D43="",0,VLOOKUP(D43,D$22:D42,1,0))</f>
        <v>#N/A</v>
      </c>
      <c r="F43" s="222" t="n">
        <f aca="false">($B43*$B$7+$C43*$C$7)/100</f>
        <v>0.005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Mentha sp.</v>
      </c>
      <c r="L43" s="220"/>
      <c r="M43" s="220"/>
      <c r="N43" s="220"/>
      <c r="O43" s="205"/>
      <c r="P43" s="206" t="n">
        <f aca="false">IF(ISTEXT(H43),"",(B43*$B$7/100)+(C43*$C$7/100))</f>
        <v>0.005</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MEN.SPX</v>
      </c>
      <c r="Y43" s="8" t="n">
        <f aca="false">IF(ISERROR(MATCH(A43,'[1]liste reference'!$A$7:$A$906,0)),IF(ISERROR(MATCH(A43,'[1]liste reference'!$B$7:$B$906,0)),"",(MATCH(A43,'[1]liste reference'!$B$7:$B$906,0))),(MATCH(A43,'[1]liste reference'!$A$7:$A$906,0)))</f>
        <v>616</v>
      </c>
      <c r="Z43" s="210"/>
      <c r="AA43" s="211"/>
      <c r="BB43" s="8" t="n">
        <f aca="false">IF(A43="","",1)</f>
        <v>1</v>
      </c>
    </row>
    <row r="44" customFormat="false" ht="12.75" hidden="false" customHeight="false" outlineLevel="0" collapsed="false">
      <c r="A44" s="212" t="s">
        <v>98</v>
      </c>
      <c r="B44" s="213"/>
      <c r="C44" s="214" t="n">
        <v>0.05</v>
      </c>
      <c r="D44" s="215" t="str">
        <f aca="false">IF(ISERROR(VLOOKUP($A44,'[1]liste reference'!$A$7:$D$906,2,0)),IF(ISERROR(VLOOKUP($A44,'[1]liste reference'!$B$7:$D$906,1,0)),"",VLOOKUP($A44,'[1]liste reference'!$B$7:$D$906,1,0)),VLOOKUP($A44,'[1]liste reference'!$A$7:$D$906,2,0))</f>
        <v>Phalaris arundinacea</v>
      </c>
      <c r="E44" s="215" t="e">
        <f aca="false">IF(D44="",0,VLOOKUP(D44,D$22:D43,1,0))</f>
        <v>#N/A</v>
      </c>
      <c r="F44" s="222" t="n">
        <f aca="false">($B44*$B$7+$C44*$C$7)/100</f>
        <v>0.025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Phalaris arundinacea</v>
      </c>
      <c r="L44" s="220"/>
      <c r="M44" s="220"/>
      <c r="N44" s="220"/>
      <c r="O44" s="205"/>
      <c r="P44" s="206" t="n">
        <f aca="false">IF(ISTEXT(H44),"",(B44*$B$7/100)+(C44*$C$7/100))</f>
        <v>0.025</v>
      </c>
      <c r="Q44" s="207" t="n">
        <f aca="false">IF(OR(ISTEXT(H44),P44=0),"",IF(P44&lt;0.1,1,IF(P44&lt;1,2,IF(P44&lt;10,3,IF(P44&lt;50,4,IF(P44&gt;=50,5,""))))))</f>
        <v>1</v>
      </c>
      <c r="R44" s="207" t="n">
        <f aca="false">IF(ISERROR(Q44*I44),0,Q44*I44)</f>
        <v>10</v>
      </c>
      <c r="S44" s="207" t="n">
        <f aca="false">IF(ISERROR(Q44*I44*J44),0,Q44*I44*J44)</f>
        <v>10</v>
      </c>
      <c r="T44" s="221" t="n">
        <f aca="false">IF(ISERROR(Q44*J44),0,Q44*J44)</f>
        <v>1</v>
      </c>
      <c r="U44" s="208" t="str">
        <f aca="false">IF(AND(A44="",F44=0),"",IF(F44=0,"Il manque le(s) % de rec. !",""))</f>
        <v/>
      </c>
      <c r="V44" s="209"/>
      <c r="X44" s="207" t="str">
        <f aca="false">IF(A44="new.cod","NEW.COD",IF(AND((Y44=""),ISTEXT(A44)),A44,IF(Y44="","",INDEX('[1]liste reference'!$A$7:$A$906,Y44))))</f>
        <v>PHA.ARU</v>
      </c>
      <c r="Y44" s="8" t="n">
        <f aca="false">IF(ISERROR(MATCH(A44,'[1]liste reference'!$A$7:$A$906,0)),IF(ISERROR(MATCH(A44,'[1]liste reference'!$B$7:$B$906,0)),"",(MATCH(A44,'[1]liste reference'!$B$7:$B$906,0))),(MATCH(A44,'[1]liste reference'!$A$7:$A$906,0)))</f>
        <v>640</v>
      </c>
      <c r="Z44" s="210"/>
      <c r="AA44" s="211"/>
      <c r="BB44" s="8" t="n">
        <f aca="false">IF(A44="","",1)</f>
        <v>1</v>
      </c>
    </row>
    <row r="45" customFormat="false" ht="12.75" hidden="false" customHeight="false" outlineLevel="0" collapsed="false">
      <c r="A45" s="212" t="s">
        <v>99</v>
      </c>
      <c r="B45" s="213"/>
      <c r="C45" s="214" t="n">
        <v>0.05</v>
      </c>
      <c r="D45" s="215" t="str">
        <f aca="false">IF(ISERROR(VLOOKUP($A45,'[1]liste reference'!$A$7:$D$906,2,0)),IF(ISERROR(VLOOKUP($A45,'[1]liste reference'!$B$7:$D$906,1,0)),"",VLOOKUP($A45,'[1]liste reference'!$B$7:$D$906,1,0)),VLOOKUP($A45,'[1]liste reference'!$A$7:$D$906,2,0))</f>
        <v>Galium palustre</v>
      </c>
      <c r="E45" s="215" t="e">
        <f aca="false">IF(D45="",0,VLOOKUP(D45,D$22:D44,1,0))</f>
        <v>#N/A</v>
      </c>
      <c r="F45" s="222" t="n">
        <f aca="false">($B45*$B$7+$C45*$C$7)/100</f>
        <v>0.025</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Galium palustre</v>
      </c>
      <c r="L45" s="220"/>
      <c r="M45" s="220"/>
      <c r="N45" s="220"/>
      <c r="O45" s="205"/>
      <c r="P45" s="206" t="n">
        <f aca="false">IF(ISTEXT(H45),"",(B45*$B$7/100)+(C45*$C$7/100))</f>
        <v>0.025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26"/>
      <c r="X45" s="207" t="str">
        <f aca="false">IF(A45="new.cod","NEW.COD",IF(AND((Y45=""),ISTEXT(A45)),A45,IF(Y45="","",INDEX('[1]liste reference'!$A$7:$A$906,Y45))))</f>
        <v>GAL.PAL</v>
      </c>
      <c r="Y45" s="8" t="n">
        <f aca="false">IF(ISERROR(MATCH(A45,'[1]liste reference'!$A$7:$A$906,0)),IF(ISERROR(MATCH(A45,'[1]liste reference'!$B$7:$B$906,0)),"",(MATCH(A45,'[1]liste reference'!$B$7:$B$906,0))),(MATCH(A45,'[1]liste reference'!$A$7:$A$906,0)))</f>
        <v>760</v>
      </c>
      <c r="Z45" s="210"/>
      <c r="AA45" s="211"/>
      <c r="BB45" s="8" t="n">
        <f aca="false">IF(A45="","",1)</f>
        <v>1</v>
      </c>
    </row>
    <row r="46" customFormat="false" ht="12.75" hidden="false" customHeight="false" outlineLevel="0" collapsed="false">
      <c r="A46" s="212" t="s">
        <v>100</v>
      </c>
      <c r="B46" s="213" t="n">
        <v>2.5</v>
      </c>
      <c r="C46" s="214" t="n">
        <v>1</v>
      </c>
      <c r="D46" s="215" t="str">
        <f aca="false">IF(ISERROR(VLOOKUP($A46,'[1]liste reference'!$A$7:$D$906,2,0)),IF(ISERROR(VLOOKUP($A46,'[1]liste reference'!$B$7:$D$906,1,0)),"",VLOOKUP($A46,'[1]liste reference'!$B$7:$D$906,1,0)),VLOOKUP($A46,'[1]liste reference'!$A$7:$D$906,2,0))</f>
        <v/>
      </c>
      <c r="E46" s="215" t="n">
        <f aca="false">IF(D46="",0,VLOOKUP(D46,D$22:D45,1,0))</f>
        <v>0</v>
      </c>
      <c r="F46" s="222" t="n">
        <f aca="false">($B46*$B$7+$C46*$C$7)/100</f>
        <v>1.75</v>
      </c>
      <c r="G46" s="217" t="str">
        <f aca="false">IF(A46="","",IF(ISERROR(VLOOKUP($A46,'[1]liste reference'!$A$7:$P$906,13,0)),IF(ISERROR(VLOOKUP($A46,'[1]liste reference'!$B$7:$P$906,12,0)),"    -",VLOOKUP($A46,'[1]liste reference'!$B$7:$P$906,12,0)),VLOOKUP($A46,'[1]liste reference'!$A$7:$P$906,13,0)))</f>
        <v>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
        <v>101</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NEWCOD</v>
      </c>
      <c r="Y46" s="8" t="str">
        <f aca="false">IF(ISERROR(MATCH(A46,'[1]liste reference'!$A$7:$A$906,0)),IF(ISERROR(MATCH(A46,'[1]liste reference'!$B$7:$B$906,0)),"",(MATCH(A46,'[1]liste reference'!$B$7:$B$906,0))),(MATCH(A46,'[1]liste reference'!$A$7:$A$906,0)))</f>
        <v/>
      </c>
      <c r="Z46" s="210"/>
      <c r="AA46" s="211"/>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2"/>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24"/>
      <c r="P47" s="206" t="str">
        <f aca="false">IF(ISTEXT(H47),"",(C47*$B$7/100)+(#REF!*$C$7/100))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2"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2"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2"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2"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2"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2"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2"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2"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2"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2"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4"/>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SIOULET</v>
      </c>
      <c r="B84" s="246" t="str">
        <f aca="false">C3</f>
        <v>Combrailles</v>
      </c>
      <c r="C84" s="247" t="n">
        <f aca="false">A4</f>
        <v>40000</v>
      </c>
      <c r="D84" s="248" t="n">
        <f aca="false">IF(ISERROR(SUM($S$23:$S$82)/SUM($T$23:$T$82)),"",SUM($S$23:$S$82)/SUM($T$23:$T$82))</f>
        <v>12.843137254902</v>
      </c>
      <c r="E84" s="249" t="n">
        <f aca="false">N13</f>
        <v>24</v>
      </c>
      <c r="F84" s="250" t="n">
        <f aca="false">N14</f>
        <v>20</v>
      </c>
      <c r="G84" s="250" t="n">
        <f aca="false">N15</f>
        <v>6</v>
      </c>
      <c r="H84" s="250" t="n">
        <f aca="false">N16</f>
        <v>12</v>
      </c>
      <c r="I84" s="250" t="n">
        <f aca="false">N17</f>
        <v>2</v>
      </c>
      <c r="J84" s="251" t="n">
        <f aca="false">N8</f>
        <v>11.9</v>
      </c>
      <c r="K84" s="248" t="n">
        <f aca="false">N9</f>
        <v>2.93616290957756</v>
      </c>
      <c r="L84" s="249" t="n">
        <f aca="false">N10</f>
        <v>6</v>
      </c>
      <c r="M84" s="249" t="n">
        <f aca="false">N11</f>
        <v>16</v>
      </c>
      <c r="N84" s="248" t="n">
        <f aca="false">O8</f>
        <v>1.8</v>
      </c>
      <c r="O84" s="248" t="n">
        <f aca="false">O9</f>
        <v>0.615587011251092</v>
      </c>
      <c r="P84" s="249" t="n">
        <f aca="false">O10</f>
        <v>1</v>
      </c>
      <c r="Q84" s="249" t="n">
        <f aca="false">O11</f>
        <v>3</v>
      </c>
      <c r="R84" s="252" t="n">
        <f aca="false">F21</f>
        <v>5.17</v>
      </c>
      <c r="S84" s="249" t="n">
        <f aca="false">K11</f>
        <v>0</v>
      </c>
      <c r="T84" s="249" t="n">
        <f aca="false">K12</f>
        <v>7</v>
      </c>
      <c r="U84" s="249" t="n">
        <f aca="false">K13</f>
        <v>8</v>
      </c>
      <c r="V84" s="253" t="n">
        <f aca="false">K14</f>
        <v>0</v>
      </c>
      <c r="W84" s="254" t="n">
        <f aca="false">K15</f>
        <v>7</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103</v>
      </c>
      <c r="Q86" s="8"/>
      <c r="R86" s="208"/>
      <c r="S86" s="8"/>
      <c r="T86" s="8"/>
      <c r="U86" s="8"/>
    </row>
    <row r="87" customFormat="false" ht="12.75" hidden="true" customHeight="false" outlineLevel="0" collapsed="false">
      <c r="P87" s="8" t="s">
        <v>104</v>
      </c>
      <c r="Q87" s="8"/>
      <c r="R87" s="208" t="n">
        <f aca="false">VLOOKUP(MAX($R$23:$R$82),($R$23:$T$82),1,0)</f>
        <v>48</v>
      </c>
      <c r="S87" s="8"/>
      <c r="T87" s="8"/>
      <c r="U87" s="8"/>
    </row>
    <row r="88" customFormat="false" ht="12.75" hidden="true" customHeight="false" outlineLevel="0" collapsed="false">
      <c r="P88" s="8" t="s">
        <v>105</v>
      </c>
      <c r="Q88" s="8"/>
      <c r="R88" s="208" t="n">
        <f aca="false">VLOOKUP((R87),($R$23:$T$82),2,0)</f>
        <v>144</v>
      </c>
      <c r="S88" s="8"/>
      <c r="T88" s="8"/>
      <c r="U88" s="8"/>
    </row>
    <row r="89" customFormat="false" ht="12.75" hidden="true" customHeight="false" outlineLevel="0" collapsed="false">
      <c r="P89" s="8" t="s">
        <v>106</v>
      </c>
      <c r="Q89" s="8"/>
      <c r="R89" s="208" t="n">
        <f aca="false">VLOOKUP((R87),($R$23:$T$82),3,0)</f>
        <v>9</v>
      </c>
      <c r="S89" s="8"/>
    </row>
    <row r="90" customFormat="false" ht="12.75" hidden="true" customHeight="false" outlineLevel="0" collapsed="false">
      <c r="P90" s="8" t="s">
        <v>107</v>
      </c>
      <c r="Q90" s="8"/>
      <c r="R90" s="256" t="n">
        <f aca="false">IF(ISERROR(SUM($S$23:$S$82)/SUM($T$23:$T$82)),"",(SUM($S$23:$S$82)-R88)/(SUM($T$23:$T$82)-R89))</f>
        <v>12.1666666666667</v>
      </c>
      <c r="S90" s="8"/>
    </row>
    <row r="91" customFormat="false" ht="12.75" hidden="true" customHeight="false" outlineLevel="0" collapsed="false">
      <c r="P91" s="207" t="s">
        <v>108</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109</v>
      </c>
      <c r="Q92" s="8"/>
      <c r="R92" s="8" t="n">
        <f aca="false">MATCH(R87,$R$23:$R$82,0)</f>
        <v>15</v>
      </c>
      <c r="S92" s="8"/>
    </row>
    <row r="93" customFormat="false" ht="12.75" hidden="true" customHeight="false" outlineLevel="0" collapsed="false">
      <c r="P93" s="207" t="s">
        <v>110</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L27:O82 K23:K82 O23:O26">
    <cfRule type="cellIs" priority="3" operator="equal" aboveAverage="0" equalAverage="0" bottom="0" percent="0" rank="0" text="" dxfId="1">
      <formula>"DEJA SAISI !"</formula>
    </cfRule>
    <cfRule type="cellIs" priority="4" operator="equal" aboveAverage="0" equalAverage="0" bottom="0" percent="0" rank="0" text="" dxfId="2">
      <formula>"code non répertorié ou synonyme"</formula>
    </cfRule>
    <cfRule type="expression" priority="5" aboveAverage="0" equalAverage="0" bottom="0" percent="0" rank="0" text="" dxfId="3">
      <formula>AND($I27="",$J27="")</formula>
    </cfRule>
  </conditionalFormatting>
  <conditionalFormatting sqref="H23:J82">
    <cfRule type="cellIs" priority="6" operator="equal" aboveAverage="0" equalAverage="0" bottom="0" percent="0" rank="0" text="" dxfId="4">
      <formula>"x"</formula>
    </cfRule>
  </conditionalFormatting>
  <conditionalFormatting sqref="V23:W23">
    <cfRule type="cellIs" priority="7" operator="equal" aboveAverage="0" equalAverage="0" bottom="0" percent="0" rank="0" text="" dxfId="5">
      <formula>"DEJA SAISI !"</formula>
    </cfRule>
    <cfRule type="cellIs" priority="8" operator="equal" aboveAverage="0" equalAverage="0" bottom="0" percent="0" rank="0" text="" dxfId="6">
      <formula>"non répertorié"</formula>
    </cfRule>
    <cfRule type="expression" priority="9" aboveAverage="0" equalAverage="0" bottom="0" percent="0" rank="0" text="" dxfId="7">
      <formula>AND(ISTEXT($G$23),ISBLANK($I$23))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2 C33:C42 B34:B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2024-03-13T11:48:11Z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