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43800_QUEUNE" sheetId="1" state="visible" r:id="rId3"/>
  </sheets>
  <externalReferences>
    <externalReference r:id="rId4"/>
  </externalReferences>
  <definedNames>
    <definedName function="false" hidden="false" localSheetId="0" name="_xlnm.Print_Area" vbProcedure="false">04043800_QUEUNE!$A$1:$O$82</definedName>
    <definedName function="false" hidden="false" localSheetId="0" name="Excel_BuiltIn__FilterDatabase" vbProcedure="false">04043800_QUEUNE!$A$23:$J$84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<sst xmlns="http://schemas.openxmlformats.org/spreadsheetml/2006/main" count="108" uniqueCount="104">
  <si>
    <t xml:space="preserve">Relevés floristiques aquatiques - IBMR</t>
  </si>
  <si>
    <t xml:space="preserve">GIS Macrophytes - juillet 2006</t>
  </si>
  <si>
    <t xml:space="preserve">SCE</t>
  </si>
  <si>
    <t xml:space="preserve">Stéphane DULAU</t>
  </si>
  <si>
    <t xml:space="preserve">conforme AFNOR T90-395 oct. 2003</t>
  </si>
  <si>
    <t xml:space="preserve">QUEUNE</t>
  </si>
  <si>
    <t xml:space="preserve">Coulandon</t>
  </si>
  <si>
    <t xml:space="preserve">04043800</t>
  </si>
  <si>
    <t xml:space="preserve">RCS - Auvergne</t>
  </si>
  <si>
    <t xml:space="preserve">Résultats</t>
  </si>
  <si>
    <t xml:space="preserve">Robustesse:</t>
  </si>
  <si>
    <t xml:space="preserve">F. courant</t>
  </si>
  <si>
    <t xml:space="preserve">F. lent</t>
  </si>
  <si>
    <t xml:space="preserve">station</t>
  </si>
  <si>
    <t xml:space="preserve">IBMR:</t>
  </si>
  <si>
    <t xml:space="preserve">LEA.SPX</t>
  </si>
  <si>
    <t xml:space="preserve">Type de faciès</t>
  </si>
  <si>
    <t xml:space="preserve">radier</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</si>
  <si>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</si>
  <si>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</si>
  <si>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</si>
  <si>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</si>
  <si>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</si>
  <si>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</si>
  <si>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</si>
  <si>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</si>
  <si>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</si>
  <si>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</si>
  <si>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</si>
  <si>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</si>
  <si>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</si>
  <si>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</si>
  <si>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</si>
  <si>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</si>
  <si>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</si>
  <si>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</si>
  <si>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</si>
  <si>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</si>
  <si>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</si>
  <si>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</si>
  <si>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</si>
  <si>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</si>
  <si>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</si>
  <si>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</si>
  <si>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</si>
  <si>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</si>
  <si>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</si>
  <si>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</si>
  <si>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</si>
  <si>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</si>
  <si>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</si>
  <si>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</si>
  <si>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</si>
  <si>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</si>
  <si>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</si>
  <si>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</si>
  <si>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</si>
  <si>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(5,08 %) et</t>
  </si>
  <si>
    <t xml:space="preserve">rec. pondéré</t>
  </si>
  <si>
    <t xml:space="preserve">voir aussi colonne BB</t>
  </si>
  <si>
    <t xml:space="preserve"> rec. par taxa (3,822 %) supérieur à 20 % !</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</si>
  <si>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</si>
  <si>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</si>
  <si>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</si>
  <si>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</si>
  <si>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</si>
  <si>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</si>
  <si>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</si>
  <si>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</si>
  <si>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</si>
  <si>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</si>
  <si>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</si>
  <si>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</si>
  <si>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</si>
  <si>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</si>
  <si>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</si>
  <si>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</si>
  <si>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</si>
  <si>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</si>
  <si>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CLA.SPX</t>
  </si>
  <si>
    <t xml:space="preserve">DIA.SPX</t>
  </si>
  <si>
    <t xml:space="preserve">MEL.SPX</t>
  </si>
  <si>
    <t xml:space="preserve">OED.SPX</t>
  </si>
  <si>
    <t xml:space="preserve">PHO.SPX</t>
  </si>
  <si>
    <t xml:space="preserve">STI.SPX</t>
  </si>
  <si>
    <t xml:space="preserve">VAU.SPX</t>
  </si>
  <si>
    <t xml:space="preserve">AMB.RIP</t>
  </si>
  <si>
    <t xml:space="preserve">FIS.CRA</t>
  </si>
  <si>
    <t xml:space="preserve">FON.ANT</t>
  </si>
  <si>
    <t xml:space="preserve">RHY.RIP</t>
  </si>
  <si>
    <t xml:space="preserve">AGR.STO</t>
  </si>
  <si>
    <t xml:space="preserve">LYS.VUL</t>
  </si>
  <si>
    <t xml:space="preserve">PHA.ARU</t>
  </si>
  <si>
    <t xml:space="preserve">POL.HYD</t>
  </si>
  <si>
    <t xml:space="preserve">GLE.HED</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</si>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</sst>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4" borderId="15" xfId="0" applyFont="true" applyBorder="true" applyAlignment="true" applyProtection="true">
      <alignment horizontal="left" vertical="top" textRotation="0" wrapText="false" indent="0" shrinkToFit="false"/>
      <protection locked="true" hidden="true"/>
    </xf>
    <xf numFmtId="167" fontId="0" fillId="4"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4"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8" fontId="27" fillId="3" borderId="27" xfId="0" applyFont="true" applyBorder="true" applyAlignment="true" applyProtection="true">
      <alignment horizontal="general" vertical="bottom" textRotation="0" wrapText="false" indent="0" shrinkToFit="false"/>
      <protection locked="true" hidden="true"/>
    </xf>
    <xf numFmtId="168"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40002</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10</v>
      </c>
      <c r="M5" s="51"/>
      <c r="N5" s="52" t="s">
        <v>15</v>
      </c>
      <c r="O5" s="53" t="n">
        <v>9.35483870967742</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20</v>
      </c>
      <c r="C7" s="65" t="n">
        <v>80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9.9375</v>
      </c>
      <c r="O8" s="82" t="n">
        <f aca="false">AVERAGE(J23:J82)</f>
        <v>1.5625</v>
      </c>
      <c r="P8" s="8"/>
      <c r="Q8" s="8"/>
      <c r="R8" s="8"/>
      <c r="S8" s="8"/>
      <c r="T8" s="8"/>
      <c r="U8" s="8"/>
      <c r="V8" s="20"/>
      <c r="W8" s="21"/>
    </row>
    <row r="9" customFormat="false" ht="12.75" hidden="false" customHeight="false" outlineLevel="0" collapsed="false">
      <c r="A9" s="83" t="s">
        <v>28</v>
      </c>
      <c r="B9" s="84" t="n">
        <v>15</v>
      </c>
      <c r="C9" s="85" t="n">
        <v>2.5</v>
      </c>
      <c r="D9" s="86"/>
      <c r="E9" s="86"/>
      <c r="F9" s="87" t="n">
        <f aca="false">($B9*$B$7+$C9*$C$7)/100</f>
        <v>5</v>
      </c>
      <c r="G9" s="88"/>
      <c r="H9" s="89"/>
      <c r="I9" s="90"/>
      <c r="J9" s="91"/>
      <c r="K9" s="71"/>
      <c r="L9" s="92"/>
      <c r="M9" s="80" t="s">
        <v>29</v>
      </c>
      <c r="N9" s="81" t="n">
        <f aca="false">STDEV(I23:I82)</f>
        <v>3.27554066783892</v>
      </c>
      <c r="O9" s="82" t="n">
        <f aca="false">STDEV(J23:J82)</f>
        <v>0.51234753829798</v>
      </c>
      <c r="P9" s="8"/>
      <c r="Q9" s="8"/>
      <c r="R9" s="8"/>
      <c r="S9" s="8"/>
      <c r="T9" s="8"/>
      <c r="U9" s="8"/>
      <c r="V9" s="93"/>
      <c r="W9" s="94"/>
    </row>
    <row r="10" customFormat="false" ht="12.75" hidden="false" customHeight="false" outlineLevel="0" collapsed="false">
      <c r="A10" s="95" t="s">
        <v>30</v>
      </c>
      <c r="B10" s="96"/>
      <c r="C10" s="97"/>
      <c r="D10" s="98"/>
      <c r="E10" s="98"/>
      <c r="F10" s="87" t="n">
        <f aca="false">($B10*$B$7+$C10*$C$7)/100</f>
        <v>0</v>
      </c>
      <c r="G10" s="88"/>
      <c r="H10" s="99"/>
      <c r="I10" s="100"/>
      <c r="J10" s="101" t="s">
        <v>31</v>
      </c>
      <c r="K10" s="101"/>
      <c r="L10" s="102"/>
      <c r="M10" s="103" t="s">
        <v>32</v>
      </c>
      <c r="N10" s="104" t="n">
        <f aca="false">MIN(I23:I82)</f>
        <v>4</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15</v>
      </c>
      <c r="O11" s="105" t="n">
        <f aca="false">MAX(J23:J82)</f>
        <v>2</v>
      </c>
      <c r="P11" s="8"/>
      <c r="Q11" s="8"/>
      <c r="R11" s="8"/>
      <c r="S11" s="8"/>
      <c r="T11" s="8"/>
      <c r="U11" s="8"/>
    </row>
    <row r="12" customFormat="false" ht="12.75" hidden="false" customHeight="false" outlineLevel="0" collapsed="false">
      <c r="A12" s="115" t="s">
        <v>36</v>
      </c>
      <c r="B12" s="116" t="n">
        <v>7.5</v>
      </c>
      <c r="C12" s="117" t="n">
        <v>2.5</v>
      </c>
      <c r="D12" s="109"/>
      <c r="E12" s="109"/>
      <c r="F12" s="110" t="n">
        <f aca="false">($B12*$B$7+$C12*$C$7)/100</f>
        <v>3.5</v>
      </c>
      <c r="G12" s="118"/>
      <c r="H12" s="66"/>
      <c r="I12" s="119" t="s">
        <v>37</v>
      </c>
      <c r="J12" s="119"/>
      <c r="K12" s="113" t="n">
        <f aca="false">COUNTIF($G$23:$G$82,"=ALG")</f>
        <v>9</v>
      </c>
      <c r="L12" s="120"/>
      <c r="M12" s="121"/>
      <c r="N12" s="122" t="s">
        <v>31</v>
      </c>
      <c r="O12" s="123"/>
      <c r="P12" s="8"/>
      <c r="Q12" s="8"/>
      <c r="R12" s="8"/>
      <c r="S12" s="8"/>
      <c r="T12" s="8"/>
      <c r="U12" s="8"/>
    </row>
    <row r="13" customFormat="false" ht="12.75" hidden="false" customHeight="false" outlineLevel="0" collapsed="false">
      <c r="A13" s="115" t="s">
        <v>38</v>
      </c>
      <c r="B13" s="116" t="n">
        <v>7.5</v>
      </c>
      <c r="C13" s="117" t="n">
        <v>0.05</v>
      </c>
      <c r="D13" s="109"/>
      <c r="E13" s="109"/>
      <c r="F13" s="110" t="n">
        <f aca="false">($B13*$B$7+$C13*$C$7)/100</f>
        <v>1.54</v>
      </c>
      <c r="G13" s="118"/>
      <c r="H13" s="66"/>
      <c r="I13" s="119" t="s">
        <v>39</v>
      </c>
      <c r="J13" s="119"/>
      <c r="K13" s="113" t="n">
        <f aca="false">COUNTIF($G$23:$G$82,"=BRm")+COUNTIF($G$23:$G$82,"=BRh")</f>
        <v>4</v>
      </c>
      <c r="L13" s="114"/>
      <c r="M13" s="124" t="s">
        <v>40</v>
      </c>
      <c r="N13" s="125" t="n">
        <f aca="false">COUNTIF(F23:F82,"&gt;0")</f>
        <v>18</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COUNTIF($G$23:$G$82,"=PTE")</f>
        <v>0</v>
      </c>
      <c r="L14" s="114"/>
      <c r="M14" s="127" t="s">
        <v>43</v>
      </c>
      <c r="N14" s="128" t="n">
        <f aca="false">COUNTIF($I$23:$I$82,"&gt;-1")</f>
        <v>16</v>
      </c>
      <c r="O14" s="129"/>
      <c r="P14" s="8"/>
      <c r="Q14" s="8"/>
      <c r="R14" s="8"/>
      <c r="S14" s="8"/>
      <c r="T14" s="8"/>
      <c r="U14" s="8"/>
    </row>
    <row r="15" customFormat="false" ht="12.75" hidden="false" customHeight="false" outlineLevel="0" collapsed="false">
      <c r="A15" s="130" t="s">
        <v>44</v>
      </c>
      <c r="B15" s="131"/>
      <c r="C15" s="132" t="n">
        <v>0.05</v>
      </c>
      <c r="D15" s="109"/>
      <c r="E15" s="109"/>
      <c r="F15" s="110" t="n">
        <f aca="false">($B15*$B$7+$C15*$C$7)/100</f>
        <v>0.04</v>
      </c>
      <c r="G15" s="118"/>
      <c r="H15" s="66"/>
      <c r="I15" s="119" t="s">
        <v>45</v>
      </c>
      <c r="J15" s="119"/>
      <c r="K15" s="113" t="n">
        <f aca="false">(COUNTIF($G$23:$G$82,"=PHy"))+(COUNTIF($G$23:$G$82,"=PHe"))+(COUNTIF($G$23:$G$82,"=PHg"))+(COUNTIF($G$23:$G$82,"=PHx"))</f>
        <v>5</v>
      </c>
      <c r="L15" s="114"/>
      <c r="M15" s="133" t="s">
        <v>46</v>
      </c>
      <c r="N15" s="134" t="n">
        <f aca="false">COUNTIF(J23:J82,"=1")</f>
        <v>7</v>
      </c>
      <c r="O15" s="135"/>
      <c r="P15" s="8"/>
      <c r="Q15" s="8"/>
      <c r="R15" s="8"/>
      <c r="S15" s="8"/>
      <c r="T15" s="8"/>
      <c r="U15" s="8"/>
    </row>
    <row r="16" customFormat="false" ht="12.75"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COUNTIF(J23:J82,"=2")</f>
        <v>9</v>
      </c>
      <c r="O16" s="135"/>
      <c r="P16" s="8"/>
      <c r="Q16" s="8"/>
      <c r="R16" s="8"/>
      <c r="S16" s="8"/>
      <c r="T16" s="8"/>
      <c r="U16" s="8"/>
    </row>
    <row r="17" customFormat="false" ht="12.75" hidden="false" customHeight="false" outlineLevel="0" collapsed="false">
      <c r="A17" s="115" t="s">
        <v>49</v>
      </c>
      <c r="B17" s="116" t="n">
        <v>15</v>
      </c>
      <c r="C17" s="117" t="n">
        <v>2.5</v>
      </c>
      <c r="D17" s="109"/>
      <c r="E17" s="109"/>
      <c r="F17" s="139"/>
      <c r="G17" s="110" t="n">
        <f aca="false">($B17*$B$7+$C17*$C$7)/100</f>
        <v>5</v>
      </c>
      <c r="H17" s="66"/>
      <c r="I17" s="119"/>
      <c r="J17" s="119"/>
      <c r="K17" s="138"/>
      <c r="L17" s="114"/>
      <c r="M17" s="133" t="s">
        <v>50</v>
      </c>
      <c r="N17" s="134" t="n">
        <f aca="false">COUNTIF(J23:J82,"=3")</f>
        <v>0</v>
      </c>
      <c r="O17" s="135"/>
      <c r="P17" s="8"/>
      <c r="Q17" s="8"/>
      <c r="R17" s="8"/>
      <c r="S17" s="8"/>
      <c r="T17" s="8"/>
      <c r="U17" s="8"/>
    </row>
    <row r="18" customFormat="false" ht="12.75" hidden="false" customHeight="false" outlineLevel="0" collapsed="false">
      <c r="A18" s="140" t="s">
        <v>51</v>
      </c>
      <c r="B18" s="141"/>
      <c r="C18" s="142" t="n">
        <v>0.05</v>
      </c>
      <c r="D18" s="109"/>
      <c r="E18" s="143" t="s">
        <v>52</v>
      </c>
      <c r="F18" s="139"/>
      <c r="G18" s="110" t="n">
        <f aca="false">($B18*$B$7+$C18*$C$7)/100</f>
        <v>0.04</v>
      </c>
      <c r="H18" s="66"/>
      <c r="I18" s="119"/>
      <c r="J18" s="119"/>
      <c r="K18" s="138"/>
      <c r="L18" s="114"/>
      <c r="M18" s="144"/>
      <c r="N18" s="144"/>
      <c r="O18" s="135"/>
      <c r="P18" s="8"/>
      <c r="Q18" s="8"/>
      <c r="R18" s="8"/>
      <c r="S18" s="8"/>
      <c r="T18" s="8"/>
      <c r="U18" s="8"/>
      <c r="V18" s="145" t="s">
        <v>53</v>
      </c>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5.08</v>
      </c>
      <c r="G19" s="151" t="n">
        <f aca="false">SUM(G16:G18)</f>
        <v>5.04</v>
      </c>
      <c r="H19" s="152"/>
      <c r="I19" s="153"/>
      <c r="J19" s="154"/>
      <c r="K19" s="155"/>
      <c r="L19" s="156"/>
      <c r="M19" s="157"/>
      <c r="N19" s="59"/>
      <c r="O19" s="158"/>
      <c r="P19" s="8"/>
      <c r="Q19" s="8"/>
      <c r="R19" s="8"/>
      <c r="S19" s="8"/>
      <c r="T19" s="8"/>
      <c r="U19" s="8"/>
      <c r="V19" s="145" t="s">
        <v>54</v>
      </c>
    </row>
    <row r="20" customFormat="false" ht="12.75" hidden="false" customHeight="false" outlineLevel="0" collapsed="false">
      <c r="A20" s="83" t="s">
        <v>55</v>
      </c>
      <c r="B20" s="159" t="n">
        <f aca="false">SUM(B23:B82)</f>
        <v>5.31</v>
      </c>
      <c r="C20" s="160" t="n">
        <f aca="false">SUM(C23:C82)</f>
        <v>3.45</v>
      </c>
      <c r="D20" s="161"/>
      <c r="E20" s="162" t="s">
        <v>52</v>
      </c>
      <c r="F20" s="163" t="n">
        <f aca="false">($B20*$B$7+$C20*$C$7)/100</f>
        <v>3.822</v>
      </c>
      <c r="G20" s="164"/>
      <c r="H20" s="165"/>
      <c r="I20" s="166"/>
      <c r="J20" s="166"/>
      <c r="K20" s="167"/>
      <c r="L20" s="45"/>
      <c r="M20" s="168"/>
      <c r="N20" s="168"/>
      <c r="O20" s="169"/>
      <c r="P20" s="170" t="s">
        <v>56</v>
      </c>
      <c r="Q20" s="8"/>
      <c r="R20" s="8"/>
      <c r="S20" s="8"/>
      <c r="T20" s="8"/>
      <c r="U20" s="8"/>
      <c r="V20" s="145" t="s">
        <v>57</v>
      </c>
    </row>
    <row r="21" customFormat="false" ht="12.75" hidden="false" customHeight="false" outlineLevel="0" collapsed="false">
      <c r="A21" s="171" t="s">
        <v>58</v>
      </c>
      <c r="B21" s="172" t="n">
        <f aca="false">B20*B7/100</f>
        <v>1.062</v>
      </c>
      <c r="C21" s="172" t="n">
        <f aca="false">C20*C7/100</f>
        <v>2.76</v>
      </c>
      <c r="D21" s="109" t="str">
        <f aca="false">IF(F21=0,"",IF((ABS(F21-F19))&gt;(0.2*F21),CONCATENATE(" rec. par taxa (",F21," %) supérieur à 20 % !"),""))</f>
        <v> rec. par taxa (3,822 %) supérieur à 20 % !</v>
      </c>
      <c r="E21" s="173" t="str">
        <f aca="false">IF(F21=0,"",IF((ABS(F21-F19))&gt;(0.2*F21),CONCATENATE("ATTENTION : écart entre rec. par grp (",F19," %) ","et",""),""))</f>
        <v>ATTENTION : écart entre rec. par grp (5,08 %) et</v>
      </c>
      <c r="F21" s="174" t="n">
        <f aca="false">B21+C21</f>
        <v>3.822</v>
      </c>
      <c r="G21" s="175"/>
      <c r="H21" s="109"/>
      <c r="I21" s="176"/>
      <c r="J21" s="176"/>
      <c r="K21" s="177"/>
      <c r="L21" s="177"/>
      <c r="M21" s="178"/>
      <c r="N21" s="178"/>
      <c r="O21" s="179"/>
      <c r="P21" s="180" t="s">
        <v>59</v>
      </c>
      <c r="Q21" s="8"/>
      <c r="R21" s="8"/>
      <c r="S21" s="8"/>
      <c r="T21" s="8"/>
      <c r="U21" s="8"/>
      <c r="V21" s="145" t="s">
        <v>60</v>
      </c>
    </row>
    <row r="22" customFormat="false" ht="12.75" hidden="false" customHeight="false" outlineLevel="0" collapsed="false">
      <c r="A22" s="181" t="s">
        <v>61</v>
      </c>
      <c r="B22" s="182" t="s">
        <v>62</v>
      </c>
      <c r="C22" s="183" t="s">
        <v>62</v>
      </c>
      <c r="D22" s="136"/>
      <c r="E22" s="136"/>
      <c r="F22" s="184" t="s">
        <v>63</v>
      </c>
      <c r="G22" s="185" t="s">
        <v>64</v>
      </c>
      <c r="H22" s="136"/>
      <c r="I22" s="186" t="s">
        <v>65</v>
      </c>
      <c r="J22" s="186" t="s">
        <v>66</v>
      </c>
      <c r="K22" s="187" t="s">
        <v>67</v>
      </c>
      <c r="L22" s="187"/>
      <c r="M22" s="187"/>
      <c r="N22" s="187"/>
      <c r="O22" s="187"/>
      <c r="P22" s="188" t="s">
        <v>68</v>
      </c>
      <c r="Q22" s="189" t="s">
        <v>69</v>
      </c>
      <c r="R22" s="190" t="s">
        <v>70</v>
      </c>
      <c r="S22" s="191" t="s">
        <v>71</v>
      </c>
      <c r="T22" s="192" t="s">
        <v>72</v>
      </c>
      <c r="U22" s="190" t="s">
        <v>73</v>
      </c>
      <c r="X22" s="8" t="s">
        <v>74</v>
      </c>
      <c r="Y22" s="8" t="s">
        <v>75</v>
      </c>
      <c r="Z22" s="193" t="s">
        <v>76</v>
      </c>
      <c r="AA22" s="193" t="s">
        <v>77</v>
      </c>
    </row>
    <row r="23" customFormat="false" ht="12.75" hidden="false" customHeight="false" outlineLevel="0" collapsed="false">
      <c r="A23" s="194" t="s">
        <v>78</v>
      </c>
      <c r="B23" s="195" t="n">
        <v>0.05</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0.01</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0.01</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79</v>
      </c>
      <c r="B24" s="213" t="n">
        <v>2.5</v>
      </c>
      <c r="C24" s="214"/>
      <c r="D24" s="215" t="str">
        <f aca="false">IF(ISERROR(VLOOKUP($A24,'[1]liste reference'!$A$7:$D$906,2,0)),IF(ISERROR(VLOOKUP($A24,'[1]liste reference'!$B$7:$D$906,1,0)),"",VLOOKUP($A24,'[1]liste reference'!$B$7:$D$906,1,0)),VLOOKUP($A24,'[1]liste reference'!$A$7:$D$906,2,0))</f>
        <v>Cladophora sp. </v>
      </c>
      <c r="E24" s="215" t="e">
        <f aca="false">IF(D24="",0,VLOOKUP(D24,D$22:D23,1,0))</f>
        <v>#N/A</v>
      </c>
      <c r="F24" s="216" t="n">
        <f aca="false">($B24*$B$7+$C24*$C$7)/100</f>
        <v>0.5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6</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Cladophora sp. </v>
      </c>
      <c r="L24" s="220"/>
      <c r="M24" s="220"/>
      <c r="N24" s="220"/>
      <c r="O24" s="205"/>
      <c r="P24" s="206" t="n">
        <f aca="false">IF(ISTEXT(H24),"",(B24*$B$7/100)+(C24*$C$7/100))</f>
        <v>0.5</v>
      </c>
      <c r="Q24" s="207" t="n">
        <f aca="false">IF(OR(ISTEXT(H24),P24=0),"",IF(P24&lt;0.1,1,IF(P24&lt;1,2,IF(P24&lt;10,3,IF(P24&lt;50,4,IF(P24&gt;=50,5,""))))))</f>
        <v>2</v>
      </c>
      <c r="R24" s="207" t="n">
        <f aca="false">IF(ISERROR(Q24*I24),0,Q24*I24)</f>
        <v>12</v>
      </c>
      <c r="S24" s="207" t="n">
        <f aca="false">IF(ISERROR(Q24*I24*J24),0,Q24*I24*J24)</f>
        <v>12</v>
      </c>
      <c r="T24" s="221" t="n">
        <f aca="false">IF(ISERROR(Q24*J24),0,Q24*J24)</f>
        <v>2</v>
      </c>
      <c r="U24" s="208" t="str">
        <f aca="false">IF(AND(A24="",F24=0),"",IF(F24=0,"Il manque le(s) % de rec. !",""))</f>
        <v/>
      </c>
      <c r="V24" s="222"/>
      <c r="X24" s="207" t="str">
        <f aca="false">IF(A24="new.cod","NEW.COD",IF(AND((Y24=""),ISTEXT(A24)),A24,IF(Y24="","",INDEX('[1]liste reference'!$A$7:$A$906,Y24))))</f>
        <v>CLA.SPX</v>
      </c>
      <c r="Y24" s="8" t="n">
        <f aca="false">IF(ISERROR(MATCH(A24,'[1]liste reference'!$A$7:$A$906,0)),IF(ISERROR(MATCH(A24,'[1]liste reference'!$B$7:$B$906,0)),"",(MATCH(A24,'[1]liste reference'!$B$7:$B$906,0))),(MATCH(A24,'[1]liste reference'!$A$7:$A$906,0)))</f>
        <v>24</v>
      </c>
      <c r="Z24" s="210"/>
      <c r="AA24" s="211"/>
      <c r="BB24" s="8" t="n">
        <f aca="false">IF(A24="","",1)</f>
        <v>1</v>
      </c>
    </row>
    <row r="25" customFormat="false" ht="12.75" hidden="false" customHeight="false" outlineLevel="0" collapsed="false">
      <c r="A25" s="212" t="s">
        <v>80</v>
      </c>
      <c r="B25" s="213" t="n">
        <v>0.05</v>
      </c>
      <c r="C25" s="214" t="n">
        <v>0.5</v>
      </c>
      <c r="D25" s="215" t="str">
        <f aca="false">IF(ISERROR(VLOOKUP($A25,'[1]liste reference'!$A$7:$D$906,2,0)),IF(ISERROR(VLOOKUP($A25,'[1]liste reference'!$B$7:$D$906,1,0)),"",VLOOKUP($A25,'[1]liste reference'!$B$7:$D$906,1,0)),VLOOKUP($A25,'[1]liste reference'!$A$7:$D$906,2,0))</f>
        <v>Diatoma sp.</v>
      </c>
      <c r="E25" s="215" t="e">
        <f aca="false">IF(D25="",0,VLOOKUP(D25,D$22:D24,1,0))</f>
        <v>#N/A</v>
      </c>
      <c r="F25" s="216" t="n">
        <f aca="false">($B25*$B$7+$C25*$C$7)/100</f>
        <v>0.41</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12</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Diatoma sp.</v>
      </c>
      <c r="L25" s="220"/>
      <c r="M25" s="220"/>
      <c r="N25" s="220"/>
      <c r="O25" s="205"/>
      <c r="P25" s="206" t="n">
        <f aca="false">IF(ISTEXT(H25),"",(B25*$B$7/100)+(C25*$C$7/100))</f>
        <v>0.41</v>
      </c>
      <c r="Q25" s="207" t="n">
        <f aca="false">IF(OR(ISTEXT(H25),P25=0),"",IF(P25&lt;0.1,1,IF(P25&lt;1,2,IF(P25&lt;10,3,IF(P25&lt;50,4,IF(P25&gt;=50,5,""))))))</f>
        <v>2</v>
      </c>
      <c r="R25" s="207" t="n">
        <f aca="false">IF(ISERROR(Q25*I25),0,Q25*I25)</f>
        <v>24</v>
      </c>
      <c r="S25" s="207" t="n">
        <f aca="false">IF(ISERROR(Q25*I25*J25),0,Q25*I25*J25)</f>
        <v>48</v>
      </c>
      <c r="T25" s="221" t="n">
        <f aca="false">IF(ISERROR(Q25*J25),0,Q25*J25)</f>
        <v>4</v>
      </c>
      <c r="U25" s="208" t="str">
        <f aca="false">IF(AND(A25="",F25=0),"",IF(F25=0,"Il manque le(s) % de rec. !",""))</f>
        <v/>
      </c>
      <c r="V25" s="222"/>
      <c r="X25" s="207" t="str">
        <f aca="false">IF(A25="new.cod","NEW.COD",IF(AND((Y25=""),ISTEXT(A25)),A25,IF(Y25="","",INDEX('[1]liste reference'!$A$7:$A$906,Y25))))</f>
        <v>DIA.SPX</v>
      </c>
      <c r="Y25" s="8" t="n">
        <f aca="false">IF(ISERROR(MATCH(A25,'[1]liste reference'!$A$7:$A$906,0)),IF(ISERROR(MATCH(A25,'[1]liste reference'!$B$7:$B$906,0)),"",(MATCH(A25,'[1]liste reference'!$B$7:$B$906,0))),(MATCH(A25,'[1]liste reference'!$A$7:$A$906,0)))</f>
        <v>27</v>
      </c>
      <c r="Z25" s="210"/>
      <c r="AA25" s="211"/>
      <c r="BB25" s="8" t="n">
        <f aca="false">IF(A25="","",1)</f>
        <v>1</v>
      </c>
    </row>
    <row r="26" customFormat="false" ht="12.75" hidden="false" customHeight="false" outlineLevel="0" collapsed="false">
      <c r="A26" s="212" t="s">
        <v>15</v>
      </c>
      <c r="B26" s="213" t="n">
        <v>1</v>
      </c>
      <c r="C26" s="214"/>
      <c r="D26" s="215" t="str">
        <f aca="false">IF(ISERROR(VLOOKUP($A26,'[1]liste reference'!$A$7:$D$906,2,0)),IF(ISERROR(VLOOKUP($A26,'[1]liste reference'!$B$7:$D$906,1,0)),"",VLOOKUP($A26,'[1]liste reference'!$B$7:$D$906,1,0)),VLOOKUP($A26,'[1]liste reference'!$A$7:$D$906,2,0))</f>
        <v>Lemanea gr. fluviatilis</v>
      </c>
      <c r="E26" s="215" t="e">
        <f aca="false">IF(D26="",0,VLOOKUP(D26,D$22:D25,1,0))</f>
        <v>#N/A</v>
      </c>
      <c r="F26" s="216" t="n">
        <f aca="false">($B26*$B$7+$C26*$C$7)/100</f>
        <v>0.2</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15</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Lemanea gr. fluviatilis</v>
      </c>
      <c r="L26" s="220"/>
      <c r="M26" s="220"/>
      <c r="N26" s="220"/>
      <c r="O26" s="205"/>
      <c r="P26" s="206" t="n">
        <f aca="false">IF(ISTEXT(H26),"",(B26*$B$7/100)+(C26*$C$7/100))</f>
        <v>0.2</v>
      </c>
      <c r="Q26" s="207" t="n">
        <f aca="false">IF(OR(ISTEXT(H26),P26=0),"",IF(P26&lt;0.1,1,IF(P26&lt;1,2,IF(P26&lt;10,3,IF(P26&lt;50,4,IF(P26&gt;=50,5,""))))))</f>
        <v>2</v>
      </c>
      <c r="R26" s="207" t="n">
        <f aca="false">IF(ISERROR(Q26*I26),0,Q26*I26)</f>
        <v>30</v>
      </c>
      <c r="S26" s="207" t="n">
        <f aca="false">IF(ISERROR(Q26*I26*J26),0,Q26*I26*J26)</f>
        <v>60</v>
      </c>
      <c r="T26" s="221" t="n">
        <f aca="false">IF(ISERROR(Q26*J26),0,Q26*J26)</f>
        <v>4</v>
      </c>
      <c r="U26" s="208" t="str">
        <f aca="false">IF(AND(A26="",F26=0),"",IF(F26=0,"Il manque le(s) % de rec. !",""))</f>
        <v/>
      </c>
      <c r="V26" s="222"/>
      <c r="X26" s="207" t="str">
        <f aca="false">IF(A26="new.cod","NEW.COD",IF(AND((Y26=""),ISTEXT(A26)),A26,IF(Y26="","",INDEX('[1]liste reference'!$A$7:$A$906,Y26))))</f>
        <v>LEA.SPX</v>
      </c>
      <c r="Y26" s="8" t="n">
        <f aca="false">IF(ISERROR(MATCH(A26,'[1]liste reference'!$A$7:$A$906,0)),IF(ISERROR(MATCH(A26,'[1]liste reference'!$B$7:$B$906,0)),"",(MATCH(A26,'[1]liste reference'!$B$7:$B$906,0))),(MATCH(A26,'[1]liste reference'!$A$7:$A$906,0)))</f>
        <v>35</v>
      </c>
      <c r="Z26" s="210"/>
      <c r="AA26" s="211"/>
      <c r="BB26" s="8" t="n">
        <f aca="false">IF(A26="","",1)</f>
        <v>1</v>
      </c>
    </row>
    <row r="27" customFormat="false" ht="12.75" hidden="false" customHeight="false" outlineLevel="0" collapsed="false">
      <c r="A27" s="212" t="s">
        <v>81</v>
      </c>
      <c r="B27" s="213" t="n">
        <v>0.5</v>
      </c>
      <c r="C27" s="214" t="n">
        <v>2.5</v>
      </c>
      <c r="D27" s="215" t="str">
        <f aca="false">IF(ISERROR(VLOOKUP($A27,'[1]liste reference'!$A$7:$D$906,2,0)),IF(ISERROR(VLOOKUP($A27,'[1]liste reference'!$B$7:$D$906,1,0)),"",VLOOKUP($A27,'[1]liste reference'!$B$7:$D$906,1,0)),VLOOKUP($A27,'[1]liste reference'!$A$7:$D$906,2,0))</f>
        <v>Melosira sp.</v>
      </c>
      <c r="E27" s="215" t="e">
        <f aca="false">IF(D27="",0,VLOOKUP(D27,D$22:D26,1,0))</f>
        <v>#N/A</v>
      </c>
      <c r="F27" s="216" t="n">
        <f aca="false">($B27*$B$7+$C27*$C$7)/100</f>
        <v>2.1</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Melosira sp.</v>
      </c>
      <c r="L27" s="220"/>
      <c r="M27" s="220"/>
      <c r="N27" s="220"/>
      <c r="O27" s="205"/>
      <c r="P27" s="206" t="n">
        <f aca="false">IF(ISTEXT(H27),"",(B27*$B$7/100)+(C27*$C$7/100))</f>
        <v>2.1</v>
      </c>
      <c r="Q27" s="207" t="n">
        <f aca="false">IF(OR(ISTEXT(H27),P27=0),"",IF(P27&lt;0.1,1,IF(P27&lt;1,2,IF(P27&lt;10,3,IF(P27&lt;50,4,IF(P27&gt;=50,5,""))))))</f>
        <v>3</v>
      </c>
      <c r="R27" s="207" t="n">
        <f aca="false">IF(ISERROR(Q27*I27),0,Q27*I27)</f>
        <v>30</v>
      </c>
      <c r="S27" s="207" t="n">
        <f aca="false">IF(ISERROR(Q27*I27*J27),0,Q27*I27*J27)</f>
        <v>30</v>
      </c>
      <c r="T27" s="221" t="n">
        <f aca="false">IF(ISERROR(Q27*J27),0,Q27*J27)</f>
        <v>3</v>
      </c>
      <c r="U27" s="208" t="str">
        <f aca="false">IF(AND(A27="",F27=0),"",IF(F27=0,"Il manque le(s) % de rec. !",""))</f>
        <v/>
      </c>
      <c r="V27" s="222"/>
      <c r="X27" s="207" t="str">
        <f aca="false">IF(A27="new.cod","NEW.COD",IF(AND((Y27=""),ISTEXT(A27)),A27,IF(Y27="","",INDEX('[1]liste reference'!$A$7:$A$906,Y27))))</f>
        <v>MEL.SPX</v>
      </c>
      <c r="Y27" s="8" t="n">
        <f aca="false">IF(ISERROR(MATCH(A27,'[1]liste reference'!$A$7:$A$906,0)),IF(ISERROR(MATCH(A27,'[1]liste reference'!$B$7:$B$906,0)),"",(MATCH(A27,'[1]liste reference'!$B$7:$B$906,0))),(MATCH(A27,'[1]liste reference'!$A$7:$A$906,0)))</f>
        <v>37</v>
      </c>
      <c r="Z27" s="210"/>
      <c r="AA27" s="211"/>
      <c r="BB27" s="8" t="n">
        <f aca="false">IF(A27="","",1)</f>
        <v>1</v>
      </c>
    </row>
    <row r="28" customFormat="false" ht="12.75" hidden="false" customHeight="false" outlineLevel="0" collapsed="false">
      <c r="A28" s="212" t="s">
        <v>82</v>
      </c>
      <c r="B28" s="213" t="n">
        <v>0.01</v>
      </c>
      <c r="C28" s="214"/>
      <c r="D28" s="215" t="str">
        <f aca="false">IF(ISERROR(VLOOKUP($A28,'[1]liste reference'!$A$7:$D$906,2,0)),IF(ISERROR(VLOOKUP($A28,'[1]liste reference'!$B$7:$D$906,1,0)),"",VLOOKUP($A28,'[1]liste reference'!$B$7:$D$906,1,0)),VLOOKUP($A28,'[1]liste reference'!$A$7:$D$906,2,0))</f>
        <v>Oedogonium sp.</v>
      </c>
      <c r="E28" s="215" t="e">
        <f aca="false">IF(D28="",0,VLOOKUP(D28,D$22:D27,1,0))</f>
        <v>#N/A</v>
      </c>
      <c r="F28" s="216" t="n">
        <f aca="false">($B28*$B$7+$C28*$C$7)/100</f>
        <v>0.002</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6</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Oedogonium sp.</v>
      </c>
      <c r="L28" s="220"/>
      <c r="M28" s="220"/>
      <c r="N28" s="220"/>
      <c r="O28" s="205"/>
      <c r="P28" s="206" t="n">
        <f aca="false">IF(ISTEXT(H28),"",(B28*$B$7/100)+(C28*$C$7/100))</f>
        <v>0.002</v>
      </c>
      <c r="Q28" s="207" t="n">
        <f aca="false">IF(OR(ISTEXT(H28),P28=0),"",IF(P28&lt;0.1,1,IF(P28&lt;1,2,IF(P28&lt;10,3,IF(P28&lt;50,4,IF(P28&gt;=50,5,""))))))</f>
        <v>1</v>
      </c>
      <c r="R28" s="207" t="n">
        <f aca="false">IF(ISERROR(Q28*I28),0,Q28*I28)</f>
        <v>6</v>
      </c>
      <c r="S28" s="207" t="n">
        <f aca="false">IF(ISERROR(Q28*I28*J28),0,Q28*I28*J28)</f>
        <v>12</v>
      </c>
      <c r="T28" s="221" t="n">
        <f aca="false">IF(ISERROR(Q28*J28),0,Q28*J28)</f>
        <v>2</v>
      </c>
      <c r="U28" s="208" t="str">
        <f aca="false">IF(AND(A28="",F28=0),"",IF(F28=0,"Il manque le(s) % de rec. !",""))</f>
        <v/>
      </c>
      <c r="V28" s="222"/>
      <c r="X28" s="207" t="str">
        <f aca="false">IF(A28="new.cod","NEW.COD",IF(AND((Y28=""),ISTEXT(A28)),A28,IF(Y28="","",INDEX('[1]liste reference'!$A$7:$A$906,Y28))))</f>
        <v>OED.SPX</v>
      </c>
      <c r="Y28" s="8" t="n">
        <f aca="false">IF(ISERROR(MATCH(A28,'[1]liste reference'!$A$7:$A$906,0)),IF(ISERROR(MATCH(A28,'[1]liste reference'!$B$7:$B$906,0)),"",(MATCH(A28,'[1]liste reference'!$B$7:$B$906,0))),(MATCH(A28,'[1]liste reference'!$A$7:$A$906,0)))</f>
        <v>56</v>
      </c>
      <c r="Z28" s="210"/>
      <c r="AA28" s="211"/>
      <c r="BB28" s="8" t="n">
        <f aca="false">IF(A28="","",1)</f>
        <v>1</v>
      </c>
    </row>
    <row r="29" customFormat="false" ht="12.75" hidden="false" customHeight="false" outlineLevel="0" collapsed="false">
      <c r="A29" s="212" t="s">
        <v>83</v>
      </c>
      <c r="B29" s="213" t="n">
        <v>0.05</v>
      </c>
      <c r="C29" s="214" t="n">
        <v>0.05</v>
      </c>
      <c r="D29" s="215" t="str">
        <f aca="false">IF(ISERROR(VLOOKUP($A29,'[1]liste reference'!$A$7:$D$906,2,0)),IF(ISERROR(VLOOKUP($A29,'[1]liste reference'!$B$7:$D$906,1,0)),"",VLOOKUP($A29,'[1]liste reference'!$B$7:$D$906,1,0)),VLOOKUP($A29,'[1]liste reference'!$A$7:$D$906,2,0))</f>
        <v>Phormidium sp.</v>
      </c>
      <c r="E29" s="215" t="e">
        <f aca="false">IF(D29="",0,VLOOKUP(D29,D$22:D28,1,0))</f>
        <v>#N/A</v>
      </c>
      <c r="F29" s="216" t="n">
        <f aca="false">($B29*$B$7+$C29*$C$7)/100</f>
        <v>0.05</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13</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Phormidium sp.</v>
      </c>
      <c r="L29" s="220"/>
      <c r="M29" s="220"/>
      <c r="N29" s="220"/>
      <c r="O29" s="205"/>
      <c r="P29" s="206" t="n">
        <f aca="false">IF(ISTEXT(H29),"",(B29*$B$7/100)+(C29*$C$7/100))</f>
        <v>0.05</v>
      </c>
      <c r="Q29" s="207" t="n">
        <f aca="false">IF(OR(ISTEXT(H29),P29=0),"",IF(P29&lt;0.1,1,IF(P29&lt;1,2,IF(P29&lt;10,3,IF(P29&lt;50,4,IF(P29&gt;=50,5,""))))))</f>
        <v>1</v>
      </c>
      <c r="R29" s="207" t="n">
        <f aca="false">IF(ISERROR(Q29*I29),0,Q29*I29)</f>
        <v>13</v>
      </c>
      <c r="S29" s="207" t="n">
        <f aca="false">IF(ISERROR(Q29*I29*J29),0,Q29*I29*J29)</f>
        <v>26</v>
      </c>
      <c r="T29" s="221" t="n">
        <f aca="false">IF(ISERROR(Q29*J29),0,Q29*J29)</f>
        <v>2</v>
      </c>
      <c r="U29" s="208" t="str">
        <f aca="false">IF(AND(A29="",F29=0),"",IF(F29=0,"Il manque le(s) % de rec. !",""))</f>
        <v/>
      </c>
      <c r="V29" s="222"/>
      <c r="X29" s="207" t="str">
        <f aca="false">IF(A29="new.cod","NEW.COD",IF(AND((Y29=""),ISTEXT(A29)),A29,IF(Y29="","",INDEX('[1]liste reference'!$A$7:$A$906,Y29))))</f>
        <v>PHO.SPX</v>
      </c>
      <c r="Y29" s="8" t="n">
        <f aca="false">IF(ISERROR(MATCH(A29,'[1]liste reference'!$A$7:$A$906,0)),IF(ISERROR(MATCH(A29,'[1]liste reference'!$B$7:$B$906,0)),"",(MATCH(A29,'[1]liste reference'!$B$7:$B$906,0))),(MATCH(A29,'[1]liste reference'!$A$7:$A$906,0)))</f>
        <v>58</v>
      </c>
      <c r="Z29" s="210"/>
      <c r="AA29" s="211"/>
      <c r="BB29" s="8" t="n">
        <f aca="false">IF(A29="","",1)</f>
        <v>1</v>
      </c>
    </row>
    <row r="30" customFormat="false" ht="12.75" hidden="false" customHeight="false" outlineLevel="0" collapsed="false">
      <c r="A30" s="212" t="s">
        <v>84</v>
      </c>
      <c r="B30" s="213" t="n">
        <v>0.05</v>
      </c>
      <c r="C30" s="214"/>
      <c r="D30" s="215" t="str">
        <f aca="false">IF(ISERROR(VLOOKUP($A30,'[1]liste reference'!$A$7:$D$906,2,0)),IF(ISERROR(VLOOKUP($A30,'[1]liste reference'!$B$7:$D$906,1,0)),"",VLOOKUP($A30,'[1]liste reference'!$B$7:$D$906,1,0)),VLOOKUP($A30,'[1]liste reference'!$A$7:$D$906,2,0))</f>
        <v>Stigeoclonium sp.</v>
      </c>
      <c r="E30" s="215" t="e">
        <f aca="false">IF(D30="",0,VLOOKUP(D30,D$22:D29,1,0))</f>
        <v>#N/A</v>
      </c>
      <c r="F30" s="216" t="n">
        <f aca="false">($B30*$B$7+$C30*$C$7)/100</f>
        <v>0.01</v>
      </c>
      <c r="G30" s="217"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8" t="n">
        <f aca="false">IF(ISNUMBER(H30),IF(ISERROR(VLOOKUP($A30,'[1]liste reference'!$A$7:$P$906,3,0)),IF(ISERROR(VLOOKUP($A30,'[1]liste reference'!$B$7:$P$906,2,0)),"",VLOOKUP($A30,'[1]liste reference'!$B$7:$P$906,2,0)),VLOOKUP($A30,'[1]liste reference'!$A$7:$P$906,3,0)),"")</f>
        <v>13</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Stigeoclonium sp.</v>
      </c>
      <c r="L30" s="220"/>
      <c r="M30" s="220"/>
      <c r="N30" s="220"/>
      <c r="O30" s="205"/>
      <c r="P30" s="206" t="n">
        <f aca="false">IF(ISTEXT(H30),"",(B30*$B$7/100)+(C30*$C$7/100))</f>
        <v>0.01</v>
      </c>
      <c r="Q30" s="207" t="n">
        <f aca="false">IF(OR(ISTEXT(H30),P30=0),"",IF(P30&lt;0.1,1,IF(P30&lt;1,2,IF(P30&lt;10,3,IF(P30&lt;50,4,IF(P30&gt;=50,5,""))))))</f>
        <v>1</v>
      </c>
      <c r="R30" s="207" t="n">
        <f aca="false">IF(ISERROR(Q30*I30),0,Q30*I30)</f>
        <v>13</v>
      </c>
      <c r="S30" s="207" t="n">
        <f aca="false">IF(ISERROR(Q30*I30*J30),0,Q30*I30*J30)</f>
        <v>26</v>
      </c>
      <c r="T30" s="221" t="n">
        <f aca="false">IF(ISERROR(Q30*J30),0,Q30*J30)</f>
        <v>2</v>
      </c>
      <c r="U30" s="208" t="str">
        <f aca="false">IF(AND(A30="",F30=0),"",IF(F30=0,"Il manque le(s) % de rec. !",""))</f>
        <v/>
      </c>
      <c r="V30" s="222"/>
      <c r="X30" s="207" t="str">
        <f aca="false">IF(A30="new.cod","NEW.COD",IF(AND((Y30=""),ISTEXT(A30)),A30,IF(Y30="","",INDEX('[1]liste reference'!$A$7:$A$906,Y30))))</f>
        <v>STI.SPX</v>
      </c>
      <c r="Y30" s="8" t="n">
        <f aca="false">IF(ISERROR(MATCH(A30,'[1]liste reference'!$A$7:$A$906,0)),IF(ISERROR(MATCH(A30,'[1]liste reference'!$B$7:$B$906,0)),"",(MATCH(A30,'[1]liste reference'!$B$7:$B$906,0))),(MATCH(A30,'[1]liste reference'!$A$7:$A$906,0)))</f>
        <v>72</v>
      </c>
      <c r="Z30" s="210"/>
      <c r="AA30" s="211"/>
      <c r="BB30" s="8" t="n">
        <f aca="false">IF(A30="","",1)</f>
        <v>1</v>
      </c>
    </row>
    <row r="31" customFormat="false" ht="12.75" hidden="false" customHeight="false" outlineLevel="0" collapsed="false">
      <c r="A31" s="212" t="s">
        <v>85</v>
      </c>
      <c r="B31" s="213" t="n">
        <v>0.5</v>
      </c>
      <c r="C31" s="214"/>
      <c r="D31" s="215" t="str">
        <f aca="false">IF(ISERROR(VLOOKUP($A31,'[1]liste reference'!$A$7:$D$906,2,0)),IF(ISERROR(VLOOKUP($A31,'[1]liste reference'!$B$7:$D$906,1,0)),"",VLOOKUP($A31,'[1]liste reference'!$B$7:$D$906,1,0)),VLOOKUP($A31,'[1]liste reference'!$A$7:$D$906,2,0))</f>
        <v>Vaucheria sp.</v>
      </c>
      <c r="E31" s="215" t="e">
        <f aca="false">IF(D31="",0,VLOOKUP(D31,D$22:D30,1,0))</f>
        <v>#N/A</v>
      </c>
      <c r="F31" s="216" t="n">
        <f aca="false">($B31*$B$7+$C31*$C$7)/100</f>
        <v>0.1</v>
      </c>
      <c r="G31" s="217"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8" t="n">
        <f aca="false">IF(ISNUMBER(H31),IF(ISERROR(VLOOKUP($A31,'[1]liste reference'!$A$7:$P$906,3,0)),IF(ISERROR(VLOOKUP($A31,'[1]liste reference'!$B$7:$P$906,2,0)),"",VLOOKUP($A31,'[1]liste reference'!$B$7:$P$906,2,0)),VLOOKUP($A31,'[1]liste reference'!$A$7:$P$906,3,0)),"")</f>
        <v>4</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Vaucheria sp.</v>
      </c>
      <c r="L31" s="220"/>
      <c r="M31" s="220"/>
      <c r="N31" s="220"/>
      <c r="O31" s="205"/>
      <c r="P31" s="206" t="n">
        <f aca="false">IF(ISTEXT(H31),"",(B31*$B$7/100)+(C31*$C$7/100))</f>
        <v>0.1</v>
      </c>
      <c r="Q31" s="207" t="n">
        <f aca="false">IF(OR(ISTEXT(H31),P31=0),"",IF(P31&lt;0.1,1,IF(P31&lt;1,2,IF(P31&lt;10,3,IF(P31&lt;50,4,IF(P31&gt;=50,5,""))))))</f>
        <v>2</v>
      </c>
      <c r="R31" s="207" t="n">
        <f aca="false">IF(ISERROR(Q31*I31),0,Q31*I31)</f>
        <v>8</v>
      </c>
      <c r="S31" s="207" t="n">
        <f aca="false">IF(ISERROR(Q31*I31*J31),0,Q31*I31*J31)</f>
        <v>8</v>
      </c>
      <c r="T31" s="221" t="n">
        <f aca="false">IF(ISERROR(Q31*J31),0,Q31*J31)</f>
        <v>2</v>
      </c>
      <c r="U31" s="208" t="str">
        <f aca="false">IF(AND(A31="",F31=0),"",IF(F31=0,"Il manque le(s) % de rec. !",""))</f>
        <v/>
      </c>
      <c r="V31" s="222"/>
      <c r="X31" s="207" t="str">
        <f aca="false">IF(A31="new.cod","NEW.COD",IF(AND((Y31=""),ISTEXT(A31)),A31,IF(Y31="","",INDEX('[1]liste reference'!$A$7:$A$906,Y31))))</f>
        <v>VAU.SPX</v>
      </c>
      <c r="Y31" s="8" t="n">
        <f aca="false">IF(ISERROR(MATCH(A31,'[1]liste reference'!$A$7:$A$906,0)),IF(ISERROR(MATCH(A31,'[1]liste reference'!$B$7:$B$906,0)),"",(MATCH(A31,'[1]liste reference'!$B$7:$B$906,0))),(MATCH(A31,'[1]liste reference'!$A$7:$A$906,0)))</f>
        <v>83</v>
      </c>
      <c r="Z31" s="210"/>
      <c r="AA31" s="211"/>
      <c r="BB31" s="8" t="n">
        <f aca="false">IF(A31="","",1)</f>
        <v>1</v>
      </c>
    </row>
    <row r="32" customFormat="false" ht="12.75" hidden="false" customHeight="false" outlineLevel="0" collapsed="false">
      <c r="A32" s="212" t="s">
        <v>86</v>
      </c>
      <c r="B32" s="213" t="n">
        <v>0.5</v>
      </c>
      <c r="C32" s="214" t="n">
        <v>0.05</v>
      </c>
      <c r="D32" s="215" t="str">
        <f aca="false">IF(ISERROR(VLOOKUP($A32,'[1]liste reference'!$A$7:$D$906,2,0)),IF(ISERROR(VLOOKUP($A32,'[1]liste reference'!$B$7:$D$906,1,0)),"",VLOOKUP($A32,'[1]liste reference'!$B$7:$D$906,1,0)),VLOOKUP($A32,'[1]liste reference'!$A$7:$D$906,2,0))</f>
        <v>Amblystegium riparium (Leptodictyum riparium)</v>
      </c>
      <c r="E32" s="215" t="e">
        <f aca="false">IF(D32="",0,VLOOKUP(D32,D$22:D31,1,0))</f>
        <v>#N/A</v>
      </c>
      <c r="F32" s="216" t="n">
        <f aca="false">($B32*$B$7+$C32*$C$7)/100</f>
        <v>0.14</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5</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Amblystegium riparium (Leptodictyum riparium)</v>
      </c>
      <c r="L32" s="220"/>
      <c r="M32" s="220"/>
      <c r="N32" s="220"/>
      <c r="O32" s="205"/>
      <c r="P32" s="206" t="n">
        <f aca="false">IF(ISTEXT(H32),"",(B32*$B$7/100)+(C32*$C$7/100))</f>
        <v>0.14</v>
      </c>
      <c r="Q32" s="207" t="n">
        <f aca="false">IF(OR(ISTEXT(H32),P32=0),"",IF(P32&lt;0.1,1,IF(P32&lt;1,2,IF(P32&lt;10,3,IF(P32&lt;50,4,IF(P32&gt;=50,5,""))))))</f>
        <v>2</v>
      </c>
      <c r="R32" s="207" t="n">
        <f aca="false">IF(ISERROR(Q32*I32),0,Q32*I32)</f>
        <v>10</v>
      </c>
      <c r="S32" s="207" t="n">
        <f aca="false">IF(ISERROR(Q32*I32*J32),0,Q32*I32*J32)</f>
        <v>20</v>
      </c>
      <c r="T32" s="221" t="n">
        <f aca="false">IF(ISERROR(Q32*J32),0,Q32*J32)</f>
        <v>4</v>
      </c>
      <c r="U32" s="208" t="str">
        <f aca="false">IF(AND(A32="",F32=0),"",IF(F32=0,"Il manque le(s) % de rec. !",""))</f>
        <v/>
      </c>
      <c r="V32" s="222"/>
      <c r="X32" s="207" t="str">
        <f aca="false">IF(A32="new.cod","NEW.COD",IF(AND((Y32=""),ISTEXT(A32)),A32,IF(Y32="","",INDEX('[1]liste reference'!$A$7:$A$906,Y32))))</f>
        <v>AMB.RIP</v>
      </c>
      <c r="Y32" s="8" t="n">
        <f aca="false">IF(ISERROR(MATCH(A32,'[1]liste reference'!$A$7:$A$906,0)),IF(ISERROR(MATCH(A32,'[1]liste reference'!$B$7:$B$906,0)),"",(MATCH(A32,'[1]liste reference'!$B$7:$B$906,0))),(MATCH(A32,'[1]liste reference'!$A$7:$A$906,0)))</f>
        <v>149</v>
      </c>
      <c r="Z32" s="210"/>
      <c r="AA32" s="211"/>
      <c r="BB32" s="8" t="n">
        <f aca="false">IF(A32="","",1)</f>
        <v>1</v>
      </c>
    </row>
    <row r="33" customFormat="false" ht="12.75" hidden="false" customHeight="false" outlineLevel="0" collapsed="false">
      <c r="A33" s="212" t="s">
        <v>87</v>
      </c>
      <c r="B33" s="213" t="n">
        <v>0.05</v>
      </c>
      <c r="C33" s="214" t="n">
        <v>0.05</v>
      </c>
      <c r="D33" s="215" t="str">
        <f aca="false">IF(ISERROR(VLOOKUP($A33,'[1]liste reference'!$A$7:$D$906,2,0)),IF(ISERROR(VLOOKUP($A33,'[1]liste reference'!$B$7:$D$906,1,0)),"",VLOOKUP($A33,'[1]liste reference'!$B$7:$D$906,1,0)),VLOOKUP($A33,'[1]liste reference'!$A$7:$D$906,2,0))</f>
        <v>Fissidens crassipes</v>
      </c>
      <c r="E33" s="215" t="e">
        <f aca="false">IF(D33="",0,VLOOKUP(D33,D$22:D32,1,0))</f>
        <v>#N/A</v>
      </c>
      <c r="F33" s="216" t="n">
        <f aca="false">($B33*$B$7+$C33*$C$7)/100</f>
        <v>0.05</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12</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Fissidens crassipes</v>
      </c>
      <c r="L33" s="223"/>
      <c r="M33" s="223"/>
      <c r="N33" s="223"/>
      <c r="O33" s="224"/>
      <c r="P33" s="206" t="n">
        <f aca="false">IF(ISTEXT(H33),"",(B33*$B$7/100)+(C33*$C$7/100))</f>
        <v>0.05</v>
      </c>
      <c r="Q33" s="207" t="n">
        <f aca="false">IF(OR(ISTEXT(H33),P33=0),"",IF(P33&lt;0.1,1,IF(P33&lt;1,2,IF(P33&lt;10,3,IF(P33&lt;50,4,IF(P33&gt;=50,5,""))))))</f>
        <v>1</v>
      </c>
      <c r="R33" s="207" t="n">
        <f aca="false">IF(ISERROR(Q33*I33),0,Q33*I33)</f>
        <v>12</v>
      </c>
      <c r="S33" s="207" t="n">
        <f aca="false">IF(ISERROR(Q33*I33*J33),0,Q33*I33*J33)</f>
        <v>24</v>
      </c>
      <c r="T33" s="221" t="n">
        <f aca="false">IF(ISERROR(Q33*J33),0,Q33*J33)</f>
        <v>2</v>
      </c>
      <c r="U33" s="208" t="str">
        <f aca="false">IF(AND(A33="",F33=0),"",IF(F33=0,"Il manque le(s) % de rec. !",""))</f>
        <v/>
      </c>
      <c r="V33" s="222"/>
      <c r="X33" s="207" t="str">
        <f aca="false">IF(A33="new.cod","NEW.COD",IF(AND((Y33=""),ISTEXT(A33)),A33,IF(Y33="","",INDEX('[1]liste reference'!$A$7:$A$906,Y33))))</f>
        <v>FIS.CRA</v>
      </c>
      <c r="Y33" s="8" t="n">
        <f aca="false">IF(ISERROR(MATCH(A33,'[1]liste reference'!$A$7:$A$906,0)),IF(ISERROR(MATCH(A33,'[1]liste reference'!$B$7:$B$906,0)),"",(MATCH(A33,'[1]liste reference'!$B$7:$B$906,0))),(MATCH(A33,'[1]liste reference'!$A$7:$A$906,0)))</f>
        <v>198</v>
      </c>
      <c r="Z33" s="210"/>
      <c r="AA33" s="211"/>
      <c r="BB33" s="8" t="n">
        <f aca="false">IF(A33="","",1)</f>
        <v>1</v>
      </c>
    </row>
    <row r="34" customFormat="false" ht="12.75" hidden="false" customHeight="false" outlineLevel="0" collapsed="false">
      <c r="A34" s="212" t="s">
        <v>88</v>
      </c>
      <c r="B34" s="213"/>
      <c r="C34" s="214" t="n">
        <v>0.05</v>
      </c>
      <c r="D34" s="215" t="str">
        <f aca="false">IF(ISERROR(VLOOKUP($A34,'[1]liste reference'!$A$7:$D$906,2,0)),IF(ISERROR(VLOOKUP($A34,'[1]liste reference'!$B$7:$D$906,1,0)),"",VLOOKUP($A34,'[1]liste reference'!$B$7:$D$906,1,0)),VLOOKUP($A34,'[1]liste reference'!$A$7:$D$906,2,0))</f>
        <v>Fontinalis antipyretica</v>
      </c>
      <c r="E34" s="215" t="e">
        <f aca="false">IF(D34="",0,VLOOKUP(D34,D$22:D33,1,0))</f>
        <v>#N/A</v>
      </c>
      <c r="F34" s="225" t="n">
        <f aca="false">($B34*$B$7+$C34*$C$7)/100</f>
        <v>0.04</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10</v>
      </c>
      <c r="J34" s="202" t="n">
        <f aca="false">IF(ISNUMBER(H34),IF(ISERROR(VLOOKUP($A34,'[1]liste reference'!$A$7:$P$906,4,0)),IF(ISERROR(VLOOKUP($A34,'[1]liste reference'!$B$7:$P$906,3,0)),"",VLOOKUP($A34,'[1]liste reference'!$B$7:$P$906,3,0)),VLOOKUP($A34,'[1]liste reference'!$A$7:$P$906,4,0)),"")</f>
        <v>1</v>
      </c>
      <c r="K34" s="219" t="str">
        <f aca="false">IF(A34="NEW.COD",AA34,IF(ISTEXT($E34),"DEJA SAISI !",IF(A34="","",IF(ISERROR(VLOOKUP($A34,'[1]liste reference'!$A$7:$D$906,2,0)),IF(ISERROR(VLOOKUP($A34,'[1]liste reference'!$B$7:$D$906,1,0)),"code non répertorié ou synonyme",VLOOKUP($A34,'[1]liste reference'!$B$7:$D$906,1,0)),VLOOKUP(A34,'[1]liste reference'!$A$7:$D$906,2,0)))))</f>
        <v>Fontinalis antipyretica</v>
      </c>
      <c r="L34" s="220"/>
      <c r="M34" s="220"/>
      <c r="N34" s="220"/>
      <c r="O34" s="205"/>
      <c r="P34" s="206" t="n">
        <f aca="false">IF(ISTEXT(H34),"",(B34*$B$7/100)+(C34*$C$7/100))</f>
        <v>0.04</v>
      </c>
      <c r="Q34" s="207" t="n">
        <f aca="false">IF(OR(ISTEXT(H34),P34=0),"",IF(P34&lt;0.1,1,IF(P34&lt;1,2,IF(P34&lt;10,3,IF(P34&lt;50,4,IF(P34&gt;=50,5,""))))))</f>
        <v>1</v>
      </c>
      <c r="R34" s="207" t="n">
        <f aca="false">IF(ISERROR(Q34*I34),0,Q34*I34)</f>
        <v>10</v>
      </c>
      <c r="S34" s="207" t="n">
        <f aca="false">IF(ISERROR(Q34*I34*J34),0,Q34*I34*J34)</f>
        <v>10</v>
      </c>
      <c r="T34" s="221" t="n">
        <f aca="false">IF(ISERROR(Q34*J34),0,Q34*J34)</f>
        <v>1</v>
      </c>
      <c r="U34" s="208" t="str">
        <f aca="false">IF(AND(A34="",F34=0),"",IF(F34=0,"Il manque le(s) % de rec. !",""))</f>
        <v/>
      </c>
      <c r="V34" s="222"/>
      <c r="W34" s="222"/>
      <c r="X34" s="207" t="str">
        <f aca="false">IF(A34="new.cod","NEW.COD",IF(AND((Y34=""),ISTEXT(A34)),A34,IF(Y34="","",INDEX('[1]liste reference'!$A$7:$A$906,Y34))))</f>
        <v>FON.ANT</v>
      </c>
      <c r="Y34" s="8" t="n">
        <f aca="false">IF(ISERROR(MATCH(A34,'[1]liste reference'!$A$7:$A$906,0)),IF(ISERROR(MATCH(A34,'[1]liste reference'!$B$7:$B$906,0)),"",(MATCH(A34,'[1]liste reference'!$B$7:$B$906,0))),(MATCH(A34,'[1]liste reference'!$A$7:$A$906,0)))</f>
        <v>211</v>
      </c>
      <c r="Z34" s="210"/>
      <c r="AA34" s="211"/>
      <c r="BB34" s="8" t="n">
        <f aca="false">IF(A34="","",1)</f>
        <v>1</v>
      </c>
    </row>
    <row r="35" customFormat="false" ht="12.75" hidden="false" customHeight="false" outlineLevel="0" collapsed="false">
      <c r="A35" s="212" t="s">
        <v>89</v>
      </c>
      <c r="B35" s="213" t="n">
        <v>0.05</v>
      </c>
      <c r="C35" s="214"/>
      <c r="D35" s="215" t="str">
        <f aca="false">IF(ISERROR(VLOOKUP($A35,'[1]liste reference'!$A$7:$D$906,2,0)),IF(ISERROR(VLOOKUP($A35,'[1]liste reference'!$B$7:$D$906,1,0)),"",VLOOKUP($A35,'[1]liste reference'!$B$7:$D$906,1,0)),VLOOKUP($A35,'[1]liste reference'!$A$7:$D$906,2,0))</f>
        <v>Rhynchostegium riparioides (Platyhypnidium rusciforme)</v>
      </c>
      <c r="E35" s="215" t="e">
        <f aca="false">IF(D35="",0,VLOOKUP(D35,D$21:D34,1,0))</f>
        <v>#N/A</v>
      </c>
      <c r="F35" s="225" t="n">
        <f aca="false">($B35*$B$7+$C35*$C$7)/100</f>
        <v>0.01</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12</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Rhynchostegium riparioides (Platyhypnidium rusciforme)</v>
      </c>
      <c r="L35" s="220"/>
      <c r="M35" s="220"/>
      <c r="N35" s="220"/>
      <c r="O35" s="205"/>
      <c r="P35" s="206" t="n">
        <f aca="false">IF(ISTEXT(H35),"",(B35*$B$7/100)+(C35*$C$7/100))</f>
        <v>0.01</v>
      </c>
      <c r="Q35" s="207" t="n">
        <f aca="false">IF(OR(ISTEXT(H35),P35=0),"",IF(P35&lt;0.1,1,IF(P35&lt;1,2,IF(P35&lt;10,3,IF(P35&lt;50,4,IF(P35&gt;=50,5,""))))))</f>
        <v>1</v>
      </c>
      <c r="R35" s="207" t="n">
        <f aca="false">IF(ISERROR(Q35*I35),0,Q35*I35)</f>
        <v>12</v>
      </c>
      <c r="S35" s="207" t="n">
        <f aca="false">IF(ISERROR(Q35*I35*J35),0,Q35*I35*J35)</f>
        <v>12</v>
      </c>
      <c r="T35" s="221" t="n">
        <f aca="false">IF(ISERROR(Q35*J35),0,Q35*J35)</f>
        <v>1</v>
      </c>
      <c r="U35" s="208" t="str">
        <f aca="false">IF(AND(A35="",F35=0),"",IF(F35=0,"Il manque le(s) % de rec. !",""))</f>
        <v/>
      </c>
      <c r="V35" s="222"/>
      <c r="W35" s="226"/>
      <c r="X35" s="207" t="str">
        <f aca="false">IF(A35="new.cod","NEW.COD",IF(AND((Y35=""),ISTEXT(A35)),A35,IF(Y35="","",INDEX('[1]liste reference'!$A$7:$A$906,Y35))))</f>
        <v>RHY.RIP</v>
      </c>
      <c r="Y35" s="8" t="n">
        <f aca="false">IF(ISERROR(MATCH(A35,'[1]liste reference'!$A$7:$A$906,0)),IF(ISERROR(MATCH(A35,'[1]liste reference'!$B$7:$B$906,0)),"",(MATCH(A35,'[1]liste reference'!$B$7:$B$906,0))),(MATCH(A35,'[1]liste reference'!$A$7:$A$906,0)))</f>
        <v>253</v>
      </c>
      <c r="Z35" s="210"/>
      <c r="AA35" s="211"/>
      <c r="BB35" s="8" t="n">
        <f aca="false">IF(A35="","",1)</f>
        <v>1</v>
      </c>
    </row>
    <row r="36" customFormat="false" ht="12.75" hidden="false" customHeight="false" outlineLevel="0" collapsed="false">
      <c r="A36" s="212" t="s">
        <v>90</v>
      </c>
      <c r="B36" s="213"/>
      <c r="C36" s="214" t="n">
        <v>0.05</v>
      </c>
      <c r="D36" s="215" t="str">
        <f aca="false">IF(ISERROR(VLOOKUP($A36,'[1]liste reference'!$A$7:$D$906,2,0)),IF(ISERROR(VLOOKUP($A36,'[1]liste reference'!$B$7:$D$906,1,0)),"",VLOOKUP($A36,'[1]liste reference'!$B$7:$D$906,1,0)),VLOOKUP($A36,'[1]liste reference'!$A$7:$D$906,2,0))</f>
        <v>Agrostis stolonifera</v>
      </c>
      <c r="E36" s="215" t="e">
        <f aca="false">IF(D36="",0,VLOOKUP(D36,D$22:D35,1,0))</f>
        <v>#N/A</v>
      </c>
      <c r="F36" s="225" t="n">
        <f aca="false">($B36*$B$7+$C36*$C$7)/100</f>
        <v>0.04</v>
      </c>
      <c r="G36" s="217" t="str">
        <f aca="false">IF(A36="","",IF(ISERROR(VLOOKUP($A36,'[1]liste reference'!$A$7:$P$906,13,0)),IF(ISERROR(VLOOKUP($A36,'[1]liste reference'!$B$7:$P$906,12,0)),"    -",VLOOKUP($A36,'[1]liste reference'!$B$7:$P$906,12,0)),VLOOKUP($A36,'[1]liste reference'!$A$7:$P$906,13,0)))</f>
        <v>PHe</v>
      </c>
      <c r="H36" s="200" t="n">
        <f aca="false">IF(A36="","x",IF(ISERROR(VLOOKUP($A36,'[1]liste reference'!$A$7:$P$906,14,0)),IF(ISERROR(VLOOKUP($A36,'[1]liste reference'!$B$7:$P$906,13,0)),"x",VLOOKUP($A36,'[1]liste reference'!$B$7:$P$906,13,0)),VLOOKUP($A36,'[1]liste reference'!$A$7:$P$906,14,0)))</f>
        <v>8</v>
      </c>
      <c r="I36" s="218" t="n">
        <f aca="false">IF(ISNUMBER(H36),IF(ISERROR(VLOOKUP($A36,'[1]liste reference'!$A$7:$P$906,3,0)),IF(ISERROR(VLOOKUP($A36,'[1]liste reference'!$B$7:$P$906,2,0)),"",VLOOKUP($A36,'[1]liste reference'!$B$7:$P$906,2,0)),VLOOKUP($A36,'[1]liste reference'!$A$7:$P$906,3,0)),"")</f>
        <v>10</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Agrostis stolonifera</v>
      </c>
      <c r="L36" s="223"/>
      <c r="M36" s="223"/>
      <c r="N36" s="223"/>
      <c r="O36" s="224"/>
      <c r="P36" s="206" t="n">
        <f aca="false">IF(ISTEXT(H36),"",(B36*$B$7/100)+(C36*$C$7/100))</f>
        <v>0.04</v>
      </c>
      <c r="Q36" s="207" t="n">
        <f aca="false">IF(OR(ISTEXT(H36),P36=0),"",IF(P36&lt;0.1,1,IF(P36&lt;1,2,IF(P36&lt;10,3,IF(P36&lt;50,4,IF(P36&gt;=50,5,""))))))</f>
        <v>1</v>
      </c>
      <c r="R36" s="207" t="n">
        <f aca="false">IF(ISERROR(Q36*I36),0,Q36*I36)</f>
        <v>10</v>
      </c>
      <c r="S36" s="207" t="n">
        <f aca="false">IF(ISERROR(Q36*I36*J36),0,Q36*I36*J36)</f>
        <v>10</v>
      </c>
      <c r="T36" s="221" t="n">
        <f aca="false">IF(ISERROR(Q36*J36),0,Q36*J36)</f>
        <v>1</v>
      </c>
      <c r="U36" s="208" t="str">
        <f aca="false">IF(AND(A36="",F36=0),"",IF(F36=0,"Il manque le(s) % de rec. !",""))</f>
        <v/>
      </c>
      <c r="V36" s="222"/>
      <c r="X36" s="207" t="str">
        <f aca="false">IF(A36="new.cod","NEW.COD",IF(AND((Y36=""),ISTEXT(A36)),A36,IF(Y36="","",INDEX('[1]liste reference'!$A$7:$A$906,Y36))))</f>
        <v>AGR.STO</v>
      </c>
      <c r="Y36" s="8" t="n">
        <f aca="false">IF(ISERROR(MATCH(A36,'[1]liste reference'!$A$7:$A$906,0)),IF(ISERROR(MATCH(A36,'[1]liste reference'!$B$7:$B$906,0)),"",(MATCH(A36,'[1]liste reference'!$B$7:$B$906,0))),(MATCH(A36,'[1]liste reference'!$A$7:$A$906,0)))</f>
        <v>520</v>
      </c>
      <c r="Z36" s="210"/>
      <c r="AA36" s="211"/>
      <c r="BB36" s="8" t="n">
        <f aca="false">IF(A36="","",1)</f>
        <v>1</v>
      </c>
    </row>
    <row r="37" customFormat="false" ht="12.75" hidden="false" customHeight="false" outlineLevel="0" collapsed="false">
      <c r="A37" s="212" t="s">
        <v>91</v>
      </c>
      <c r="B37" s="213"/>
      <c r="C37" s="214" t="n">
        <v>0.05</v>
      </c>
      <c r="D37" s="215" t="str">
        <f aca="false">IF(ISERROR(VLOOKUP($A37,'[1]liste reference'!$A$7:$D$906,2,0)),IF(ISERROR(VLOOKUP($A37,'[1]liste reference'!$B$7:$D$906,1,0)),"",VLOOKUP($A37,'[1]liste reference'!$B$7:$D$906,1,0)),VLOOKUP($A37,'[1]liste reference'!$A$7:$D$906,2,0))</f>
        <v>Lysimachia vulgaris</v>
      </c>
      <c r="E37" s="215" t="e">
        <f aca="false">IF(D37="",0,VLOOKUP(D37,D$22:D36,1,0))</f>
        <v>#N/A</v>
      </c>
      <c r="F37" s="225" t="n">
        <f aca="false">($B37*$B$7+$C37*$C$7)/100</f>
        <v>0.04</v>
      </c>
      <c r="G37" s="217" t="str">
        <f aca="false">IF(A37="","",IF(ISERROR(VLOOKUP($A37,'[1]liste reference'!$A$7:$P$906,13,0)),IF(ISERROR(VLOOKUP($A37,'[1]liste reference'!$B$7:$P$906,12,0)),"    -",VLOOKUP($A37,'[1]liste reference'!$B$7:$P$906,12,0)),VLOOKUP($A37,'[1]liste reference'!$A$7:$P$906,13,0)))</f>
        <v>PHe</v>
      </c>
      <c r="H37" s="200" t="n">
        <f aca="false">IF(A37="","x",IF(ISERROR(VLOOKUP($A37,'[1]liste reference'!$A$7:$P$906,14,0)),IF(ISERROR(VLOOKUP($A37,'[1]liste reference'!$B$7:$P$906,13,0)),"x",VLOOKUP($A37,'[1]liste reference'!$B$7:$P$906,13,0)),VLOOKUP($A37,'[1]liste reference'!$A$7:$P$906,14,0)))</f>
        <v>8</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Lysimachia vulgaris</v>
      </c>
      <c r="L37" s="220"/>
      <c r="M37" s="220"/>
      <c r="N37" s="220"/>
      <c r="O37" s="205"/>
      <c r="P37" s="206" t="n">
        <f aca="false">IF(ISTEXT(H37),"",(B37*$B$7/100)+(C37*$C$7/100))</f>
        <v>0.04</v>
      </c>
      <c r="Q37" s="207" t="n">
        <f aca="false">IF(OR(ISTEXT(H37),P37=0),"",IF(P37&lt;0.1,1,IF(P37&lt;1,2,IF(P37&lt;10,3,IF(P37&lt;50,4,IF(P37&gt;=50,5,""))))))</f>
        <v>1</v>
      </c>
      <c r="R37" s="207" t="n">
        <f aca="false">IF(ISERROR(Q37*I37),0,Q37*I37)</f>
        <v>0</v>
      </c>
      <c r="S37" s="207" t="n">
        <f aca="false">IF(ISERROR(Q37*I37*J37),0,Q37*I37*J37)</f>
        <v>0</v>
      </c>
      <c r="T37" s="221" t="n">
        <f aca="false">IF(ISERROR(Q37*J37),0,Q37*J37)</f>
        <v>0</v>
      </c>
      <c r="U37" s="208" t="str">
        <f aca="false">IF(AND(A37="",F37=0),"",IF(F37=0,"Il manque le(s) % de rec. !",""))</f>
        <v/>
      </c>
      <c r="V37" s="222"/>
      <c r="X37" s="207" t="str">
        <f aca="false">IF(A37="new.cod","NEW.COD",IF(AND((Y37=""),ISTEXT(A37)),A37,IF(Y37="","",INDEX('[1]liste reference'!$A$7:$A$906,Y37))))</f>
        <v>LYS.VUL</v>
      </c>
      <c r="Y37" s="8" t="n">
        <f aca="false">IF(ISERROR(MATCH(A37,'[1]liste reference'!$A$7:$A$906,0)),IF(ISERROR(MATCH(A37,'[1]liste reference'!$B$7:$B$906,0)),"",(MATCH(A37,'[1]liste reference'!$B$7:$B$906,0))),(MATCH(A37,'[1]liste reference'!$A$7:$A$906,0)))</f>
        <v>607</v>
      </c>
      <c r="Z37" s="210"/>
      <c r="AA37" s="211"/>
      <c r="BB37" s="8" t="n">
        <f aca="false">IF(A37="","",1)</f>
        <v>1</v>
      </c>
    </row>
    <row r="38" customFormat="false" ht="12.75" hidden="false" customHeight="false" outlineLevel="0" collapsed="false">
      <c r="A38" s="212" t="s">
        <v>92</v>
      </c>
      <c r="B38" s="213"/>
      <c r="C38" s="214" t="n">
        <v>0.05</v>
      </c>
      <c r="D38" s="215" t="str">
        <f aca="false">IF(ISERROR(VLOOKUP($A38,'[1]liste reference'!$A$7:$D$906,2,0)),IF(ISERROR(VLOOKUP($A38,'[1]liste reference'!$B$7:$D$906,1,0)),"",VLOOKUP($A38,'[1]liste reference'!$B$7:$D$906,1,0)),VLOOKUP($A38,'[1]liste reference'!$A$7:$D$906,2,0))</f>
        <v>Phalaris arundinacea</v>
      </c>
      <c r="E38" s="215" t="e">
        <f aca="false">IF(D38="",0,VLOOKUP(D38,D$22:D37,1,0))</f>
        <v>#N/A</v>
      </c>
      <c r="F38" s="225" t="n">
        <f aca="false">($B38*$B$7+$C38*$C$7)/100</f>
        <v>0.04</v>
      </c>
      <c r="G38" s="217" t="str">
        <f aca="false">IF(A38="","",IF(ISERROR(VLOOKUP($A38,'[1]liste reference'!$A$7:$P$906,13,0)),IF(ISERROR(VLOOKUP($A38,'[1]liste reference'!$B$7:$P$906,12,0)),"    -",VLOOKUP($A38,'[1]liste reference'!$B$7:$P$906,12,0)),VLOOKUP($A38,'[1]liste reference'!$A$7:$P$906,13,0)))</f>
        <v>PHe</v>
      </c>
      <c r="H38" s="200" t="n">
        <f aca="false">IF(A38="","x",IF(ISERROR(VLOOKUP($A38,'[1]liste reference'!$A$7:$P$906,14,0)),IF(ISERROR(VLOOKUP($A38,'[1]liste reference'!$B$7:$P$906,13,0)),"x",VLOOKUP($A38,'[1]liste reference'!$B$7:$P$906,13,0)),VLOOKUP($A38,'[1]liste reference'!$A$7:$P$906,14,0)))</f>
        <v>8</v>
      </c>
      <c r="I38" s="218" t="n">
        <f aca="false">IF(ISNUMBER(H38),IF(ISERROR(VLOOKUP($A38,'[1]liste reference'!$A$7:$P$906,3,0)),IF(ISERROR(VLOOKUP($A38,'[1]liste reference'!$B$7:$P$906,2,0)),"",VLOOKUP($A38,'[1]liste reference'!$B$7:$P$906,2,0)),VLOOKUP($A38,'[1]liste reference'!$A$7:$P$906,3,0)),"")</f>
        <v>10</v>
      </c>
      <c r="J38" s="202" t="n">
        <f aca="false">IF(ISNUMBER(H38),IF(ISERROR(VLOOKUP($A38,'[1]liste reference'!$A$7:$P$906,4,0)),IF(ISERROR(VLOOKUP($A38,'[1]liste reference'!$B$7:$P$906,3,0)),"",VLOOKUP($A38,'[1]liste reference'!$B$7:$P$906,3,0)),VLOOKUP($A38,'[1]liste reference'!$A$7:$P$906,4,0)),"")</f>
        <v>1</v>
      </c>
      <c r="K38" s="219" t="str">
        <f aca="false">IF(A38="NEW.COD",AA38,IF(ISTEXT($E38),"DEJA SAISI !",IF(A38="","",IF(ISERROR(VLOOKUP($A38,'[1]liste reference'!$A$7:$D$906,2,0)),IF(ISERROR(VLOOKUP($A38,'[1]liste reference'!$B$7:$D$906,1,0)),"code non répertorié ou synonyme",VLOOKUP($A38,'[1]liste reference'!$B$7:$D$906,1,0)),VLOOKUP(A38,'[1]liste reference'!$A$7:$D$906,2,0)))))</f>
        <v>Phalaris arundinacea</v>
      </c>
      <c r="L38" s="220"/>
      <c r="M38" s="220"/>
      <c r="N38" s="220"/>
      <c r="O38" s="205"/>
      <c r="P38" s="206" t="n">
        <f aca="false">IF(ISTEXT(H38),"",(B38*$B$7/100)+(C38*$C$7/100))</f>
        <v>0.04</v>
      </c>
      <c r="Q38" s="207" t="n">
        <f aca="false">IF(OR(ISTEXT(H38),P38=0),"",IF(P38&lt;0.1,1,IF(P38&lt;1,2,IF(P38&lt;10,3,IF(P38&lt;50,4,IF(P38&gt;=50,5,""))))))</f>
        <v>1</v>
      </c>
      <c r="R38" s="207" t="n">
        <f aca="false">IF(ISERROR(Q38*I38),0,Q38*I38)</f>
        <v>10</v>
      </c>
      <c r="S38" s="207" t="n">
        <f aca="false">IF(ISERROR(Q38*I38*J38),0,Q38*I38*J38)</f>
        <v>10</v>
      </c>
      <c r="T38" s="221" t="n">
        <f aca="false">IF(ISERROR(Q38*J38),0,Q38*J38)</f>
        <v>1</v>
      </c>
      <c r="U38" s="208" t="str">
        <f aca="false">IF(AND(A38="",F38=0),"",IF(F38=0,"Il manque le(s) % de rec. !",""))</f>
        <v/>
      </c>
      <c r="V38" s="222"/>
      <c r="W38" s="222"/>
      <c r="X38" s="207" t="str">
        <f aca="false">IF(A38="new.cod","NEW.COD",IF(AND((Y38=""),ISTEXT(A38)),A38,IF(Y38="","",INDEX('[1]liste reference'!$A$7:$A$906,Y38))))</f>
        <v>PHA.ARU</v>
      </c>
      <c r="Y38" s="8" t="n">
        <f aca="false">IF(ISERROR(MATCH(A38,'[1]liste reference'!$A$7:$A$906,0)),IF(ISERROR(MATCH(A38,'[1]liste reference'!$B$7:$B$906,0)),"",(MATCH(A38,'[1]liste reference'!$B$7:$B$906,0))),(MATCH(A38,'[1]liste reference'!$A$7:$A$906,0)))</f>
        <v>640</v>
      </c>
      <c r="Z38" s="210"/>
      <c r="AA38" s="211"/>
      <c r="BB38" s="8" t="n">
        <f aca="false">IF(A38="","",1)</f>
        <v>1</v>
      </c>
    </row>
    <row r="39" customFormat="false" ht="12.75" hidden="false" customHeight="false" outlineLevel="0" collapsed="false">
      <c r="A39" s="212" t="s">
        <v>93</v>
      </c>
      <c r="B39" s="213"/>
      <c r="C39" s="214" t="n">
        <v>0.05</v>
      </c>
      <c r="D39" s="215" t="str">
        <f aca="false">IF(ISERROR(VLOOKUP($A39,'[1]liste reference'!$A$7:$D$906,2,0)),IF(ISERROR(VLOOKUP($A39,'[1]liste reference'!$B$7:$D$906,1,0)),"",VLOOKUP($A39,'[1]liste reference'!$B$7:$D$906,1,0)),VLOOKUP($A39,'[1]liste reference'!$A$7:$D$906,2,0))</f>
        <v>Polygonum hydropiper (Persicaria hydropiper)</v>
      </c>
      <c r="E39" s="215" t="e">
        <f aca="false">IF(D39="",0,VLOOKUP(D39,D$22:D38,1,0))</f>
        <v>#N/A</v>
      </c>
      <c r="F39" s="225" t="n">
        <f aca="false">($B39*$B$7+$C39*$C$7)/100</f>
        <v>0.04</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n">
        <f aca="false">IF(ISNUMBER(H39),IF(ISERROR(VLOOKUP($A39,'[1]liste reference'!$A$7:$P$906,3,0)),IF(ISERROR(VLOOKUP($A39,'[1]liste reference'!$B$7:$P$906,2,0)),"",VLOOKUP($A39,'[1]liste reference'!$B$7:$P$906,2,0)),VLOOKUP($A39,'[1]liste reference'!$A$7:$P$906,3,0)),"")</f>
        <v>8</v>
      </c>
      <c r="J39" s="202" t="n">
        <f aca="false">IF(ISNUMBER(H39),IF(ISERROR(VLOOKUP($A39,'[1]liste reference'!$A$7:$P$906,4,0)),IF(ISERROR(VLOOKUP($A39,'[1]liste reference'!$B$7:$P$906,3,0)),"",VLOOKUP($A39,'[1]liste reference'!$B$7:$P$906,3,0)),VLOOKUP($A39,'[1]liste reference'!$A$7:$P$906,4,0)),"")</f>
        <v>2</v>
      </c>
      <c r="K39" s="219" t="str">
        <f aca="false">IF(A39="NEW.COD",AA39,IF(ISTEXT($E39),"DEJA SAISI !",IF(A39="","",IF(ISERROR(VLOOKUP($A39,'[1]liste reference'!$A$7:$D$906,2,0)),IF(ISERROR(VLOOKUP($A39,'[1]liste reference'!$B$7:$D$906,1,0)),"code non répertorié ou synonyme",VLOOKUP($A39,'[1]liste reference'!$B$7:$D$906,1,0)),VLOOKUP(A39,'[1]liste reference'!$A$7:$D$906,2,0)))))</f>
        <v>Polygonum hydropiper (Persicaria hydropiper)</v>
      </c>
      <c r="L39" s="220"/>
      <c r="M39" s="220"/>
      <c r="N39" s="220"/>
      <c r="O39" s="205"/>
      <c r="P39" s="206" t="n">
        <f aca="false">IF(ISTEXT(H39),"",(B39*$B$7/100)+(C39*$C$7/100))</f>
        <v>0.04</v>
      </c>
      <c r="Q39" s="207" t="n">
        <f aca="false">IF(OR(ISTEXT(H39),P39=0),"",IF(P39&lt;0.1,1,IF(P39&lt;1,2,IF(P39&lt;10,3,IF(P39&lt;50,4,IF(P39&gt;=50,5,""))))))</f>
        <v>1</v>
      </c>
      <c r="R39" s="207" t="n">
        <f aca="false">IF(ISERROR(Q39*I39),0,Q39*I39)</f>
        <v>8</v>
      </c>
      <c r="S39" s="207" t="n">
        <f aca="false">IF(ISERROR(Q39*I39*J39),0,Q39*I39*J39)</f>
        <v>16</v>
      </c>
      <c r="T39" s="221" t="n">
        <f aca="false">IF(ISERROR(Q39*J39),0,Q39*J39)</f>
        <v>2</v>
      </c>
      <c r="U39" s="208" t="str">
        <f aca="false">IF(AND(A39="",F39=0),"",IF(F39=0,"Il manque le(s) % de rec. !",""))</f>
        <v/>
      </c>
      <c r="V39" s="222"/>
      <c r="X39" s="207" t="str">
        <f aca="false">IF(A39="new.cod","NEW.COD",IF(AND((Y39=""),ISTEXT(A39)),A39,IF(Y39="","",INDEX('[1]liste reference'!$A$7:$A$906,Y39))))</f>
        <v>POL.HYD</v>
      </c>
      <c r="Y39" s="8" t="n">
        <f aca="false">IF(ISERROR(MATCH(A39,'[1]liste reference'!$A$7:$A$906,0)),IF(ISERROR(MATCH(A39,'[1]liste reference'!$B$7:$B$906,0)),"",(MATCH(A39,'[1]liste reference'!$B$7:$B$906,0))),(MATCH(A39,'[1]liste reference'!$A$7:$A$906,0)))</f>
        <v>643</v>
      </c>
      <c r="Z39" s="210"/>
      <c r="AA39" s="211"/>
      <c r="BB39" s="8" t="n">
        <f aca="false">IF(A39="","",1)</f>
        <v>1</v>
      </c>
    </row>
    <row r="40" customFormat="false" ht="12.75" hidden="false" customHeight="false" outlineLevel="0" collapsed="false">
      <c r="A40" s="212" t="s">
        <v>94</v>
      </c>
      <c r="B40" s="213"/>
      <c r="C40" s="214" t="n">
        <v>0.05</v>
      </c>
      <c r="D40" s="215" t="str">
        <f aca="false">IF(ISERROR(VLOOKUP($A40,'[1]liste reference'!$A$7:$D$906,2,0)),IF(ISERROR(VLOOKUP($A40,'[1]liste reference'!$B$7:$D$906,1,0)),"",VLOOKUP($A40,'[1]liste reference'!$B$7:$D$906,1,0)),VLOOKUP($A40,'[1]liste reference'!$A$7:$D$906,2,0))</f>
        <v>Glechoma hederacea</v>
      </c>
      <c r="E40" s="215" t="e">
        <f aca="false">IF(D40="",0,VLOOKUP(D40,D$22:D39,1,0))</f>
        <v>#N/A</v>
      </c>
      <c r="F40" s="225" t="n">
        <f aca="false">($B40*$B$7+$C40*$C$7)/100</f>
        <v>0.04</v>
      </c>
      <c r="G40" s="217" t="str">
        <f aca="false">IF(A40="","",IF(ISERROR(VLOOKUP($A40,'[1]liste reference'!$A$7:$P$906,13,0)),IF(ISERROR(VLOOKUP($A40,'[1]liste reference'!$B$7:$P$906,12,0)),"    -",VLOOKUP($A40,'[1]liste reference'!$B$7:$P$906,12,0)),VLOOKUP($A40,'[1]liste reference'!$A$7:$P$906,13,0)))</f>
        <v>PHg</v>
      </c>
      <c r="H40" s="200" t="n">
        <f aca="false">IF(A40="","x",IF(ISERROR(VLOOKUP($A40,'[1]liste reference'!$A$7:$P$906,14,0)),IF(ISERROR(VLOOKUP($A40,'[1]liste reference'!$B$7:$P$906,13,0)),"x",VLOOKUP($A40,'[1]liste reference'!$B$7:$P$906,13,0)),VLOOKUP($A40,'[1]liste reference'!$A$7:$P$906,14,0)))</f>
        <v>9</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Glechoma hederacea</v>
      </c>
      <c r="L40" s="220"/>
      <c r="M40" s="220"/>
      <c r="N40" s="220"/>
      <c r="O40" s="205"/>
      <c r="P40" s="206" t="n">
        <f aca="false">IF(ISTEXT(H40),"",(B40*$B$7/100)+(C40*$C$7/100))</f>
        <v>0.04</v>
      </c>
      <c r="Q40" s="207" t="n">
        <f aca="false">IF(OR(ISTEXT(H40),P40=0),"",IF(P40&lt;0.1,1,IF(P40&lt;1,2,IF(P40&lt;10,3,IF(P40&lt;50,4,IF(P40&gt;=50,5,""))))))</f>
        <v>1</v>
      </c>
      <c r="R40" s="207" t="n">
        <f aca="false">IF(ISERROR(Q40*I40),0,Q40*I40)</f>
        <v>0</v>
      </c>
      <c r="S40" s="207" t="n">
        <f aca="false">IF(ISERROR(Q40*I40*J40),0,Q40*I40*J40)</f>
        <v>0</v>
      </c>
      <c r="T40" s="221" t="n">
        <f aca="false">IF(ISERROR(Q40*J40),0,Q40*J40)</f>
        <v>0</v>
      </c>
      <c r="U40" s="208" t="str">
        <f aca="false">IF(AND(A40="",F40=0),"",IF(F40=0,"Il manque le(s) % de rec. !",""))</f>
        <v/>
      </c>
      <c r="V40" s="222"/>
      <c r="X40" s="207" t="str">
        <f aca="false">IF(A40="new.cod","NEW.COD",IF(AND((Y40=""),ISTEXT(A40)),A40,IF(Y40="","",INDEX('[1]liste reference'!$A$7:$A$906,Y40))))</f>
        <v>GLE.HED</v>
      </c>
      <c r="Y40" s="8" t="n">
        <f aca="false">IF(ISERROR(MATCH(A40,'[1]liste reference'!$A$7:$A$906,0)),IF(ISERROR(MATCH(A40,'[1]liste reference'!$B$7:$B$906,0)),"",(MATCH(A40,'[1]liste reference'!$B$7:$B$906,0))),(MATCH(A40,'[1]liste reference'!$A$7:$A$906,0)))</f>
        <v>764</v>
      </c>
      <c r="Z40" s="210"/>
      <c r="AA40" s="211"/>
      <c r="BB40" s="8" t="n">
        <f aca="false">IF(A40="","",1)</f>
        <v>1</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22"/>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22"/>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22"/>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22"/>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22"/>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22"/>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22"/>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22"/>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22"/>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22"/>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22"/>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22"/>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22"/>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22"/>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22"/>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22"/>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22"/>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22"/>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22"/>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22"/>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22"/>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22"/>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22"/>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22"/>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22"/>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22"/>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22"/>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22"/>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22"/>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22"/>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22"/>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22"/>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22"/>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22"/>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22"/>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22"/>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22"/>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22"/>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22"/>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22"/>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22"/>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95</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QUEUNE</v>
      </c>
      <c r="B84" s="246" t="str">
        <f aca="false">C3</f>
        <v>Coulandon</v>
      </c>
      <c r="C84" s="247" t="n">
        <f aca="false">A4</f>
        <v>40002</v>
      </c>
      <c r="D84" s="248" t="n">
        <f aca="false">IF(ISERROR(SUM($S$23:$S$82)/SUM($T$23:$T$82)),"",SUM($S$23:$S$82)/SUM($T$23:$T$82))</f>
        <v>10</v>
      </c>
      <c r="E84" s="249" t="n">
        <f aca="false">N13</f>
        <v>18</v>
      </c>
      <c r="F84" s="250" t="n">
        <f aca="false">N14</f>
        <v>16</v>
      </c>
      <c r="G84" s="250" t="n">
        <f aca="false">N15</f>
        <v>7</v>
      </c>
      <c r="H84" s="250" t="n">
        <f aca="false">N16</f>
        <v>9</v>
      </c>
      <c r="I84" s="250" t="n">
        <f aca="false">N17</f>
        <v>0</v>
      </c>
      <c r="J84" s="251" t="n">
        <f aca="false">N8</f>
        <v>9.9375</v>
      </c>
      <c r="K84" s="248" t="n">
        <f aca="false">N9</f>
        <v>3.27554066783892</v>
      </c>
      <c r="L84" s="249" t="n">
        <f aca="false">N10</f>
        <v>4</v>
      </c>
      <c r="M84" s="249" t="n">
        <f aca="false">N11</f>
        <v>15</v>
      </c>
      <c r="N84" s="248" t="n">
        <f aca="false">O8</f>
        <v>1.5625</v>
      </c>
      <c r="O84" s="248" t="n">
        <f aca="false">O9</f>
        <v>0.51234753829798</v>
      </c>
      <c r="P84" s="249" t="n">
        <f aca="false">O10</f>
        <v>1</v>
      </c>
      <c r="Q84" s="249" t="n">
        <f aca="false">O11</f>
        <v>2</v>
      </c>
      <c r="R84" s="252" t="n">
        <f aca="false">F21</f>
        <v>3.822</v>
      </c>
      <c r="S84" s="249" t="n">
        <f aca="false">K11</f>
        <v>0</v>
      </c>
      <c r="T84" s="249" t="n">
        <f aca="false">K12</f>
        <v>9</v>
      </c>
      <c r="U84" s="249" t="n">
        <f aca="false">K13</f>
        <v>4</v>
      </c>
      <c r="V84" s="253" t="n">
        <f aca="false">K14</f>
        <v>0</v>
      </c>
      <c r="W84" s="254" t="n">
        <f aca="false">K15</f>
        <v>5</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96</v>
      </c>
      <c r="Q86" s="8"/>
      <c r="R86" s="208"/>
      <c r="S86" s="8"/>
      <c r="T86" s="8"/>
      <c r="U86" s="8"/>
    </row>
    <row r="87" customFormat="false" ht="12.75" hidden="true" customHeight="false" outlineLevel="0" collapsed="false">
      <c r="P87" s="8" t="s">
        <v>97</v>
      </c>
      <c r="Q87" s="8"/>
      <c r="R87" s="208" t="n">
        <f aca="false">VLOOKUP(MAX($R$23:$R$82),($R$23:$T$82),1,0)</f>
        <v>30</v>
      </c>
      <c r="S87" s="8"/>
      <c r="T87" s="8"/>
      <c r="U87" s="8"/>
    </row>
    <row r="88" customFormat="false" ht="12.75" hidden="true" customHeight="false" outlineLevel="0" collapsed="false">
      <c r="P88" s="8" t="s">
        <v>98</v>
      </c>
      <c r="Q88" s="8"/>
      <c r="R88" s="208" t="n">
        <f aca="false">VLOOKUP((R87),($R$23:$T$82),2,0)</f>
        <v>60</v>
      </c>
      <c r="S88" s="8"/>
      <c r="T88" s="8"/>
      <c r="U88" s="8"/>
    </row>
    <row r="89" customFormat="false" ht="12.75" hidden="true" customHeight="false" outlineLevel="0" collapsed="false">
      <c r="P89" s="8" t="s">
        <v>99</v>
      </c>
      <c r="Q89" s="8"/>
      <c r="R89" s="208" t="n">
        <f aca="false">VLOOKUP((R87),($R$23:$T$82),3,0)</f>
        <v>4</v>
      </c>
      <c r="S89" s="8"/>
    </row>
    <row r="90" customFormat="false" ht="12.75" hidden="true" customHeight="false" outlineLevel="0" collapsed="false">
      <c r="P90" s="8" t="s">
        <v>100</v>
      </c>
      <c r="Q90" s="8"/>
      <c r="R90" s="256" t="n">
        <f aca="false">IF(ISERROR(SUM($S$23:$S$82)/SUM($T$23:$T$82)),"",(SUM($S$23:$S$82)-R88)/(SUM($T$23:$T$82)-R89))</f>
        <v>9.35483870967742</v>
      </c>
      <c r="S90" s="8"/>
    </row>
    <row r="91" customFormat="false" ht="12.75" hidden="true" customHeight="false" outlineLevel="0" collapsed="false">
      <c r="P91" s="207" t="s">
        <v>101</v>
      </c>
      <c r="Q91" s="207"/>
      <c r="R91" s="207" t="str">
        <f aca="false">INDEX('[1]liste reference'!$A$7:$A$906,$S$91)</f>
        <v>LEA.SPX</v>
      </c>
      <c r="S91" s="8" t="n">
        <f aca="false">IF(ISERROR(MATCH($R$93,'[1]liste reference'!$A$7:$A$906,0)),MATCH($R$93,'[1]liste reference'!$B$7:$B$906,0),(MATCH($R$93,'[1]liste reference'!$A$7:$A$906,0)))</f>
        <v>35</v>
      </c>
      <c r="T91" s="244"/>
    </row>
    <row r="92" customFormat="false" ht="12.75" hidden="true" customHeight="false" outlineLevel="0" collapsed="false">
      <c r="P92" s="8" t="s">
        <v>102</v>
      </c>
      <c r="Q92" s="8"/>
      <c r="R92" s="8" t="n">
        <f aca="false">MATCH(R87,$R$23:$R$82,0)</f>
        <v>4</v>
      </c>
      <c r="S92" s="8"/>
    </row>
    <row r="93" customFormat="false" ht="12.75" hidden="true" customHeight="false" outlineLevel="0" collapsed="false">
      <c r="P93" s="207" t="s">
        <v>103</v>
      </c>
      <c r="Q93" s="8"/>
      <c r="R93" s="207" t="str">
        <f aca="false">INDEX($A$23:$A$82,$R$92)</f>
        <v>LEA.SPX</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2024-03-13T11:48:24Z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