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IE" sheetId="1" state="visible" r:id="rId2"/>
  </sheets>
  <externalReferences>
    <externalReference r:id="rId3"/>
  </externalReferences>
  <definedNames>
    <definedName function="false" hidden="false" localSheetId="0" name="Excel_BuiltIn_Print_Area" vbProcedure="false">BIE!$A$1:$O$82</definedName>
    <definedName function="false" hidden="false" localSheetId="0" name="Excel_BuiltIn__FilterDatabase" vbProcedure="false">BIE!$A$23:$J$84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<sst xmlns="http://schemas.openxmlformats.org/spreadsheetml/2006/main" count="115" uniqueCount="111">
  <si>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</si>
  <si>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</si>
  <si>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</si>
  <si>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</si>
  <si>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</si>
  <si>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BIEUDRE</t>
  </si>
  <si>
    <t xml:space="preserve">Pouzy-Mésangy</t>
  </si>
  <si>
    <t xml:space="preserve">04044400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</si>
  <si>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</si>
  <si>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</si>
  <si>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</si>
  <si>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</si>
  <si>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</si>
  <si>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</si>
  <si>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</si>
  <si>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</si>
  <si>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</si>
  <si>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</si>
  <si>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</si>
  <si>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</si>
  <si>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</si>
  <si>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</si>
  <si>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</si>
  <si>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</si>
  <si>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</si>
  <si>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</si>
  <si>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</si>
  <si>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</si>
  <si>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</si>
  <si>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</si>
  <si>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</si>
  <si>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</si>
  <si>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</si>
  <si>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</si>
  <si>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</si>
  <si>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</si>
  <si>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</si>
  <si>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</si>
  <si>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</si>
  <si>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</si>
  <si>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</si>
  <si>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</si>
  <si>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</si>
  <si>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</si>
  <si>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</si>
  <si>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</si>
  <si>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</si>
  <si>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</si>
  <si>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</si>
  <si>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</si>
  <si>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</si>
  <si>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</si>
  <si>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</si>
  <si>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</si>
  <si>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</si>
  <si>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</si>
  <si>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</si>
  <si>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</si>
  <si>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</si>
  <si>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</si>
  <si>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</si>
  <si>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</si>
  <si>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</si>
  <si>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</si>
  <si>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</si>
  <si>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</si>
  <si>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</si>
  <si>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</si>
  <si>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</si>
  <si>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</si>
  <si>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</si>
  <si>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</si>
  <si>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</si>
  <si>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</si>
  <si>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</si>
  <si>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</si>
  <si>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MEL.SPX</t>
  </si>
  <si>
    <t xml:space="preserve">OSC.SPX</t>
  </si>
  <si>
    <t xml:space="preserve">PHO.SPX</t>
  </si>
  <si>
    <t xml:space="preserve">SPI.SPX</t>
  </si>
  <si>
    <t xml:space="preserve">VAU.SPX</t>
  </si>
  <si>
    <t xml:space="preserve">HIL.SPX</t>
  </si>
  <si>
    <t xml:space="preserve">AMB.RIP</t>
  </si>
  <si>
    <t xml:space="preserve">CHI.POL</t>
  </si>
  <si>
    <t xml:space="preserve">CON.CON</t>
  </si>
  <si>
    <t xml:space="preserve">FIS.CRA</t>
  </si>
  <si>
    <t xml:space="preserve">FON.ANT</t>
  </si>
  <si>
    <t xml:space="preserve">LUN.CRU</t>
  </si>
  <si>
    <t xml:space="preserve">PEL.END</t>
  </si>
  <si>
    <t xml:space="preserve">Cf.</t>
  </si>
  <si>
    <t xml:space="preserve">RHY.RIP</t>
  </si>
  <si>
    <t xml:space="preserve">AGR.STO</t>
  </si>
  <si>
    <t xml:space="preserve">CAL.HAM</t>
  </si>
  <si>
    <t xml:space="preserve">CAL.PLA</t>
  </si>
  <si>
    <t xml:space="preserve">EQU.ARV</t>
  </si>
  <si>
    <t xml:space="preserve">IRI.PSE</t>
  </si>
  <si>
    <t xml:space="preserve">LYC.EUR</t>
  </si>
  <si>
    <t xml:space="preserve">PHA.ARU</t>
  </si>
  <si>
    <t xml:space="preserve">POL.HYD</t>
  </si>
  <si>
    <t xml:space="preserve">RAN.REP</t>
  </si>
  <si>
    <t xml:space="preserve">ROR.AMP</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</si>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</sst>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39335</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10.3958333333333</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10.3478260869565</v>
      </c>
      <c r="O8" s="82" t="n">
        <f aca="false">AVERAGE(J23:J82)</f>
        <v>1.39130434782609</v>
      </c>
      <c r="P8" s="8"/>
      <c r="Q8" s="8"/>
      <c r="R8" s="8"/>
      <c r="S8" s="8"/>
      <c r="T8" s="8"/>
      <c r="U8" s="8"/>
      <c r="V8" s="20"/>
      <c r="W8" s="21"/>
    </row>
    <row r="9" customFormat="false" ht="13.5" hidden="false" customHeight="false" outlineLevel="0" collapsed="false">
      <c r="A9" s="83" t="s">
        <v>25</v>
      </c>
      <c r="B9" s="84" t="n">
        <v>16</v>
      </c>
      <c r="C9" s="85" t="n">
        <v>4</v>
      </c>
      <c r="D9" s="86"/>
      <c r="E9" s="86"/>
      <c r="F9" s="87" t="n">
        <f aca="false">($B9*$B$7+$C9*$C$7)/100</f>
        <v>11.2</v>
      </c>
      <c r="G9" s="88"/>
      <c r="H9" s="89"/>
      <c r="I9" s="90"/>
      <c r="J9" s="91"/>
      <c r="K9" s="71"/>
      <c r="L9" s="92"/>
      <c r="M9" s="80" t="s">
        <v>26</v>
      </c>
      <c r="N9" s="81" t="n">
        <f aca="false">STDEV(I23:I82)</f>
        <v>2.74041628642892</v>
      </c>
      <c r="O9" s="82" t="n">
        <f aca="false">STDEV(J23:J82)</f>
        <v>0.499010879347845</v>
      </c>
      <c r="P9" s="8"/>
      <c r="Q9" s="8"/>
      <c r="R9" s="8"/>
      <c r="S9" s="8"/>
      <c r="T9" s="8"/>
      <c r="U9" s="8"/>
      <c r="V9" s="93"/>
      <c r="W9" s="94"/>
    </row>
    <row r="10" customFormat="false" ht="13.5" hidden="false" customHeight="false" outlineLevel="0" collapsed="false">
      <c r="A10" s="95" t="s">
        <v>27</v>
      </c>
      <c r="B10" s="96" t="n">
        <v>0.12</v>
      </c>
      <c r="C10" s="97" t="n">
        <v>1.52</v>
      </c>
      <c r="D10" s="98"/>
      <c r="E10" s="98"/>
      <c r="F10" s="87" t="n">
        <f aca="false">($B10*$B$7+$C10*$C$7)/100</f>
        <v>0.68</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5</v>
      </c>
      <c r="C12" s="117" t="n">
        <v>2.5</v>
      </c>
      <c r="D12" s="109"/>
      <c r="E12" s="109"/>
      <c r="F12" s="110" t="n">
        <f aca="false">($B12*$B$7+$C12*$C$7)/100</f>
        <v>4</v>
      </c>
      <c r="G12" s="118"/>
      <c r="H12" s="66"/>
      <c r="I12" s="119" t="s">
        <v>34</v>
      </c>
      <c r="J12" s="119"/>
      <c r="K12" s="113" t="n">
        <f aca="false">COUNTIF($G$23:$G$82,"=ALG")</f>
        <v>9</v>
      </c>
      <c r="L12" s="120"/>
      <c r="M12" s="121"/>
      <c r="N12" s="122" t="s">
        <v>28</v>
      </c>
      <c r="O12" s="123"/>
      <c r="P12" s="8"/>
      <c r="Q12" s="8"/>
      <c r="R12" s="8"/>
      <c r="S12" s="8"/>
      <c r="T12" s="8"/>
      <c r="U12" s="8"/>
    </row>
    <row r="13" customFormat="false" ht="12.75" hidden="false" customHeight="false" outlineLevel="0" collapsed="false">
      <c r="A13" s="115" t="s">
        <v>35</v>
      </c>
      <c r="B13" s="116" t="n">
        <v>10.5</v>
      </c>
      <c r="C13" s="117" t="n">
        <v>1.2</v>
      </c>
      <c r="D13" s="109"/>
      <c r="E13" s="109"/>
      <c r="F13" s="110" t="n">
        <f aca="false">($B13*$B$7+$C13*$C$7)/100</f>
        <v>6.78</v>
      </c>
      <c r="G13" s="118"/>
      <c r="H13" s="66"/>
      <c r="I13" s="119" t="s">
        <v>36</v>
      </c>
      <c r="J13" s="119"/>
      <c r="K13" s="113" t="n">
        <f aca="false">COUNTIF($G$23:$G$82,"=BRm")+COUNTIF($G$23:$G$82,"=BRh")</f>
        <v>8</v>
      </c>
      <c r="L13" s="114"/>
      <c r="M13" s="124" t="s">
        <v>37</v>
      </c>
      <c r="N13" s="125" t="n">
        <f aca="false">COUNTIF(F23:F82,"&gt;0")</f>
        <v>28</v>
      </c>
      <c r="O13" s="126"/>
      <c r="P13" s="8"/>
      <c r="Q13" s="8"/>
      <c r="R13" s="8"/>
      <c r="S13" s="8"/>
      <c r="T13" s="8"/>
      <c r="U13" s="8"/>
    </row>
    <row r="14" customFormat="false" ht="12.75" hidden="false" customHeight="false" outlineLevel="0" collapsed="false">
      <c r="A14" s="115" t="s">
        <v>38</v>
      </c>
      <c r="B14" s="116"/>
      <c r="C14" s="117" t="n">
        <v>0.02</v>
      </c>
      <c r="D14" s="109"/>
      <c r="E14" s="109"/>
      <c r="F14" s="110" t="n">
        <f aca="false">($B14*$B$7+$C14*$C$7)/100</f>
        <v>0.008</v>
      </c>
      <c r="G14" s="118"/>
      <c r="H14" s="66"/>
      <c r="I14" s="119" t="s">
        <v>39</v>
      </c>
      <c r="J14" s="119"/>
      <c r="K14" s="113" t="n">
        <f aca="false">COUNTIF($G$23:$G$82,"=PTE")</f>
        <v>1</v>
      </c>
      <c r="L14" s="114"/>
      <c r="M14" s="127" t="s">
        <v>40</v>
      </c>
      <c r="N14" s="128" t="n">
        <f aca="false">COUNTIF($I$23:$I$82,"&gt;-1")</f>
        <v>23</v>
      </c>
      <c r="O14" s="129"/>
      <c r="P14" s="8"/>
      <c r="Q14" s="8"/>
      <c r="R14" s="8"/>
      <c r="S14" s="8"/>
      <c r="T14" s="8"/>
      <c r="U14" s="8"/>
    </row>
    <row r="15" customFormat="false" ht="12.75" hidden="false" customHeight="false" outlineLevel="0" collapsed="false">
      <c r="A15" s="130" t="s">
        <v>41</v>
      </c>
      <c r="B15" s="131" t="n">
        <v>0.6</v>
      </c>
      <c r="C15" s="132" t="n">
        <v>0.3</v>
      </c>
      <c r="D15" s="109"/>
      <c r="E15" s="109"/>
      <c r="F15" s="110" t="n">
        <f aca="false">($B15*$B$7+$C15*$C$7)/100</f>
        <v>0.48</v>
      </c>
      <c r="G15" s="118"/>
      <c r="H15" s="66"/>
      <c r="I15" s="119" t="s">
        <v>42</v>
      </c>
      <c r="J15" s="119"/>
      <c r="K15" s="113" t="n">
        <f aca="false">(COUNTIF($G$23:$G$82,"=PHy"))+(COUNTIF($G$23:$G$82,"=PHe"))+(COUNTIF($G$23:$G$82,"=PHg"))+(COUNTIF($G$23:$G$82,"=PHx"))</f>
        <v>10</v>
      </c>
      <c r="L15" s="114"/>
      <c r="M15" s="133" t="s">
        <v>43</v>
      </c>
      <c r="N15" s="134" t="n">
        <f aca="false">COUNTIF(J23:J82,"=1")</f>
        <v>14</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9</v>
      </c>
      <c r="O16" s="135"/>
      <c r="P16" s="8"/>
      <c r="Q16" s="8"/>
      <c r="R16" s="8"/>
      <c r="S16" s="8"/>
      <c r="T16" s="8"/>
      <c r="U16" s="8"/>
    </row>
    <row r="17" customFormat="false" ht="12.75" hidden="false" customHeight="false" outlineLevel="0" collapsed="false">
      <c r="A17" s="115" t="s">
        <v>46</v>
      </c>
      <c r="B17" s="116" t="n">
        <v>15.5</v>
      </c>
      <c r="C17" s="117" t="n">
        <v>3.7</v>
      </c>
      <c r="D17" s="109"/>
      <c r="E17" s="109"/>
      <c r="F17" s="139"/>
      <c r="G17" s="110" t="n">
        <f aca="false">($B17*$B$7+$C17*$C$7)/100</f>
        <v>10.78</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t="n">
        <v>0.6</v>
      </c>
      <c r="C18" s="142" t="n">
        <v>0.3</v>
      </c>
      <c r="D18" s="109"/>
      <c r="E18" s="143" t="s">
        <v>49</v>
      </c>
      <c r="F18" s="139"/>
      <c r="G18" s="110" t="n">
        <f aca="false">($B18*$B$7+$C18*$C$7)/100</f>
        <v>0.48</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11.268</v>
      </c>
      <c r="G19" s="151" t="n">
        <f aca="false">SUM(G16:G18)</f>
        <v>11.26</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16.48</v>
      </c>
      <c r="C20" s="160" t="n">
        <f aca="false">SUM(C23:C82)</f>
        <v>4.38</v>
      </c>
      <c r="D20" s="161"/>
      <c r="E20" s="162" t="s">
        <v>49</v>
      </c>
      <c r="F20" s="163" t="n">
        <f aca="false">($B20*$B$7+$C20*$C$7)/100</f>
        <v>11.64</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9.888</v>
      </c>
      <c r="C21" s="172" t="n">
        <f aca="false">C20*C7/100</f>
        <v>1.752</v>
      </c>
      <c r="D21" s="109" t="str">
        <f aca="false">IF(F21=0,"",IF((ABS(F21-F19))&gt;(0.2*F21),CONCATENATE(" rec. par taxa (",F21," %) supérieur à 20 % !"),""))</f>
        <v/>
      </c>
      <c r="E21" s="173" t="str">
        <f aca="false">IF(F21=0,"",IF((ABS(F21-F19))&gt;(0.2*F21),CONCATENATE("ATTENTION : écart entre rec. par grp (",F19," %) ","et",""),""))</f>
        <v/>
      </c>
      <c r="F21" s="174" t="n">
        <f aca="false">B21+C21</f>
        <v>11.64</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0.02</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0.012</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0.7</v>
      </c>
      <c r="C24" s="214"/>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0.42</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05"/>
      <c r="P24" s="206" t="n">
        <f aca="false">IF(ISTEXT(H24),"",(B24*$B$7/100)+(C24*$C$7/100))</f>
        <v>0.42</v>
      </c>
      <c r="Q24" s="207" t="n">
        <f aca="false">IF(OR(ISTEXT(H24),P24=0),"",IF(P24&lt;0.1,1,IF(P24&lt;1,2,IF(P24&lt;10,3,IF(P24&lt;50,4,IF(P24&gt;=50,5,""))))))</f>
        <v>2</v>
      </c>
      <c r="R24" s="207" t="n">
        <f aca="false">IF(ISERROR(Q24*I24),0,Q24*I24)</f>
        <v>12</v>
      </c>
      <c r="S24" s="207" t="n">
        <f aca="false">IF(ISERROR(Q24*I24*J24),0,Q24*I24*J24)</f>
        <v>12</v>
      </c>
      <c r="T24" s="221" t="n">
        <f aca="false">IF(ISERROR(Q24*J24),0,Q24*J24)</f>
        <v>2</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75</v>
      </c>
      <c r="B25" s="213" t="n">
        <v>0.02</v>
      </c>
      <c r="C25" s="214" t="n">
        <v>0.02</v>
      </c>
      <c r="D25" s="215" t="str">
        <f aca="false">IF(ISERROR(VLOOKUP($A25,'[1]liste reference'!$A$7:$D$906,2,0)),IF(ISERROR(VLOOKUP($A25,'[1]liste reference'!$B$7:$D$906,1,0)),"",VLOOKUP($A25,'[1]liste reference'!$B$7:$D$906,1,0)),VLOOKUP($A25,'[1]liste reference'!$A$7:$D$906,2,0))</f>
        <v>Diatoma sp.</v>
      </c>
      <c r="E25" s="215" t="e">
        <f aca="false">IF(D25="",0,VLOOKUP(D25,D$22:D24,1,0))</f>
        <v>#N/A</v>
      </c>
      <c r="F25" s="216" t="n">
        <f aca="false">($B25*$B$7+$C25*$C$7)/100</f>
        <v>0.02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Diatoma sp.</v>
      </c>
      <c r="L25" s="220"/>
      <c r="M25" s="220"/>
      <c r="N25" s="220"/>
      <c r="O25" s="205"/>
      <c r="P25" s="206" t="n">
        <f aca="false">IF(ISTEXT(H25),"",(B25*$B$7/100)+(C25*$C$7/100))</f>
        <v>0.02</v>
      </c>
      <c r="Q25" s="207" t="n">
        <f aca="false">IF(OR(ISTEXT(H25),P25=0),"",IF(P25&lt;0.1,1,IF(P25&lt;1,2,IF(P25&lt;10,3,IF(P25&lt;50,4,IF(P25&gt;=50,5,""))))))</f>
        <v>1</v>
      </c>
      <c r="R25" s="207" t="n">
        <f aca="false">IF(ISERROR(Q25*I25),0,Q25*I25)</f>
        <v>12</v>
      </c>
      <c r="S25" s="207" t="n">
        <f aca="false">IF(ISERROR(Q25*I25*J25),0,Q25*I25*J25)</f>
        <v>24</v>
      </c>
      <c r="T25" s="221" t="n">
        <f aca="false">IF(ISERROR(Q25*J25),0,Q25*J25)</f>
        <v>2</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212" t="s">
        <v>76</v>
      </c>
      <c r="B26" s="213" t="n">
        <v>0.1</v>
      </c>
      <c r="C26" s="214" t="n">
        <v>1.5</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0.66</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0.66</v>
      </c>
      <c r="Q26" s="207" t="n">
        <f aca="false">IF(OR(ISTEXT(H26),P26=0),"",IF(P26&lt;0.1,1,IF(P26&lt;1,2,IF(P26&lt;10,3,IF(P26&lt;50,4,IF(P26&gt;=50,5,""))))))</f>
        <v>2</v>
      </c>
      <c r="R26" s="207" t="n">
        <f aca="false">IF(ISERROR(Q26*I26),0,Q26*I26)</f>
        <v>20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77</v>
      </c>
      <c r="B27" s="213" t="n">
        <v>0.02</v>
      </c>
      <c r="C27" s="214" t="n">
        <v>0.05</v>
      </c>
      <c r="D27" s="215" t="str">
        <f aca="false">IF(ISERROR(VLOOKUP($A27,'[1]liste reference'!$A$7:$D$906,2,0)),IF(ISERROR(VLOOKUP($A27,'[1]liste reference'!$B$7:$D$906,1,0)),"",VLOOKUP($A27,'[1]liste reference'!$B$7:$D$906,1,0)),VLOOKUP($A27,'[1]liste reference'!$A$7:$D$906,2,0))</f>
        <v>Oscillatoria sp.</v>
      </c>
      <c r="E27" s="215" t="e">
        <f aca="false">IF(D27="",0,VLOOKUP(D27,D$22:D26,1,0))</f>
        <v>#N/A</v>
      </c>
      <c r="F27" s="216" t="n">
        <f aca="false">($B27*$B$7+$C27*$C$7)/100</f>
        <v>0.032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Oscillatoria sp.</v>
      </c>
      <c r="L27" s="220"/>
      <c r="M27" s="220"/>
      <c r="N27" s="220"/>
      <c r="O27" s="205"/>
      <c r="P27" s="206" t="n">
        <f aca="false">IF(ISTEXT(H27),"",(B27*$B$7/100)+(C27*$C$7/100))</f>
        <v>0.032</v>
      </c>
      <c r="Q27" s="207" t="n">
        <f aca="false">IF(OR(ISTEXT(H27),P27=0),"",IF(P27&lt;0.1,1,IF(P27&lt;1,2,IF(P27&lt;10,3,IF(P27&lt;50,4,IF(P27&gt;=50,5,""))))))</f>
        <v>1</v>
      </c>
      <c r="R27" s="207" t="n">
        <f aca="false">IF(ISERROR(Q27*I27),0,Q27*I27)</f>
        <v>11</v>
      </c>
      <c r="S27" s="207" t="n">
        <f aca="false">IF(ISERROR(Q27*I27*J27),0,Q27*I27*J27)</f>
        <v>11</v>
      </c>
      <c r="T27" s="221" t="n">
        <f aca="false">IF(ISERROR(Q27*J27),0,Q27*J27)</f>
        <v>1</v>
      </c>
      <c r="U27" s="208" t="str">
        <f aca="false">IF(AND(A27="",F27=0),"",IF(F27=0,"Il manque le(s) % de rec. !",""))</f>
        <v/>
      </c>
      <c r="V27" s="209"/>
      <c r="X27" s="207" t="str">
        <f aca="false">IF(A27="new.cod","NEW.COD",IF(AND((Y27=""),ISTEXT(A27)),A27,IF(Y27="","",INDEX('[1]liste reference'!$A$7:$A$906,Y27))))</f>
        <v>OSC.SPX</v>
      </c>
      <c r="Y27" s="8" t="n">
        <f aca="false">IF(ISERROR(MATCH(A27,'[1]liste reference'!$A$7:$A$906,0)),IF(ISERROR(MATCH(A27,'[1]liste reference'!$B$7:$B$906,0)),"",(MATCH(A27,'[1]liste reference'!$B$7:$B$906,0))),(MATCH(A27,'[1]liste reference'!$A$7:$A$906,0)))</f>
        <v>57</v>
      </c>
      <c r="Z27" s="210"/>
      <c r="AA27" s="211"/>
      <c r="BB27" s="8" t="n">
        <f aca="false">IF(A27="","",1)</f>
        <v>1</v>
      </c>
    </row>
    <row r="28" customFormat="false" ht="12.75" hidden="false" customHeight="false" outlineLevel="0" collapsed="false">
      <c r="A28" s="212" t="s">
        <v>78</v>
      </c>
      <c r="B28" s="213" t="n">
        <v>0.2</v>
      </c>
      <c r="C28" s="214"/>
      <c r="D28" s="215" t="str">
        <f aca="false">IF(ISERROR(VLOOKUP($A28,'[1]liste reference'!$A$7:$D$906,2,0)),IF(ISERROR(VLOOKUP($A28,'[1]liste reference'!$B$7:$D$906,1,0)),"",VLOOKUP($A28,'[1]liste reference'!$B$7:$D$906,1,0)),VLOOKUP($A28,'[1]liste reference'!$A$7:$D$906,2,0))</f>
        <v>Phormidium sp.</v>
      </c>
      <c r="E28" s="215" t="e">
        <f aca="false">IF(D28="",0,VLOOKUP(D28,D$22:D27,1,0))</f>
        <v>#N/A</v>
      </c>
      <c r="F28" s="216" t="n">
        <f aca="false">($B28*$B$7+$C28*$C$7)/100</f>
        <v>0.12</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Phormidium sp.</v>
      </c>
      <c r="L28" s="220"/>
      <c r="M28" s="220"/>
      <c r="N28" s="220"/>
      <c r="O28" s="205"/>
      <c r="P28" s="206" t="n">
        <f aca="false">IF(ISTEXT(H28),"",(B28*$B$7/100)+(C28*$C$7/100))</f>
        <v>0.12</v>
      </c>
      <c r="Q28" s="207" t="n">
        <f aca="false">IF(OR(ISTEXT(H28),P28=0),"",IF(P28&lt;0.1,1,IF(P28&lt;1,2,IF(P28&lt;10,3,IF(P28&lt;50,4,IF(P28&gt;=50,5,""))))))</f>
        <v>2</v>
      </c>
      <c r="R28" s="207" t="n">
        <f aca="false">IF(ISERROR(Q28*I28),0,Q28*I28)</f>
        <v>26</v>
      </c>
      <c r="S28" s="207" t="n">
        <f aca="false">IF(ISERROR(Q28*I28*J28),0,Q28*I28*J28)</f>
        <v>52</v>
      </c>
      <c r="T28" s="221" t="n">
        <f aca="false">IF(ISERROR(Q28*J28),0,Q28*J28)</f>
        <v>4</v>
      </c>
      <c r="U28" s="208" t="str">
        <f aca="false">IF(AND(A28="",F28=0),"",IF(F28=0,"Il manque le(s) % de rec. !",""))</f>
        <v/>
      </c>
      <c r="V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75" hidden="false" customHeight="false" outlineLevel="0" collapsed="false">
      <c r="A29" s="212" t="s">
        <v>79</v>
      </c>
      <c r="B29" s="213" t="n">
        <v>0.1</v>
      </c>
      <c r="C29" s="214"/>
      <c r="D29" s="215" t="str">
        <f aca="false">IF(ISERROR(VLOOKUP($A29,'[1]liste reference'!$A$7:$D$906,2,0)),IF(ISERROR(VLOOKUP($A29,'[1]liste reference'!$B$7:$D$906,1,0)),"",VLOOKUP($A29,'[1]liste reference'!$B$7:$D$906,1,0)),VLOOKUP($A29,'[1]liste reference'!$A$7:$D$906,2,0))</f>
        <v>Spirogyra sp.</v>
      </c>
      <c r="E29" s="215" t="e">
        <f aca="false">IF(D29="",0,VLOOKUP(D29,D$22:D28,1,0))</f>
        <v>#N/A</v>
      </c>
      <c r="F29" s="216" t="n">
        <f aca="false">($B29*$B$7+$C29*$C$7)/100</f>
        <v>0.06</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Spirogyra sp.</v>
      </c>
      <c r="L29" s="220"/>
      <c r="M29" s="220"/>
      <c r="N29" s="220"/>
      <c r="O29" s="205"/>
      <c r="P29" s="206" t="n">
        <f aca="false">IF(ISTEXT(H29),"",(B29*$B$7/100)+(C29*$C$7/100))</f>
        <v>0.06</v>
      </c>
      <c r="Q29" s="207" t="n">
        <f aca="false">IF(OR(ISTEXT(H29),P29=0),"",IF(P29&lt;0.1,1,IF(P29&lt;1,2,IF(P29&lt;10,3,IF(P29&lt;50,4,IF(P29&gt;=50,5,""))))))</f>
        <v>1</v>
      </c>
      <c r="R29" s="207" t="n">
        <f aca="false">IF(ISERROR(Q29*I29),0,Q29*I29)</f>
        <v>10</v>
      </c>
      <c r="S29" s="207" t="n">
        <f aca="false">IF(ISERROR(Q29*I29*J29),0,Q29*I29*J29)</f>
        <v>10</v>
      </c>
      <c r="T29" s="221" t="n">
        <f aca="false">IF(ISERROR(Q29*J29),0,Q29*J29)</f>
        <v>1</v>
      </c>
      <c r="U29" s="208" t="str">
        <f aca="false">IF(AND(A29="",F29=0),"",IF(F29=0,"Il manque le(s) % de rec. !",""))</f>
        <v/>
      </c>
      <c r="V29" s="209"/>
      <c r="X29" s="207" t="str">
        <f aca="false">IF(A29="new.cod","NEW.COD",IF(AND((Y29=""),ISTEXT(A29)),A29,IF(Y29="","",INDEX('[1]liste reference'!$A$7:$A$906,Y29))))</f>
        <v>SPI.SPX</v>
      </c>
      <c r="Y29" s="8" t="n">
        <f aca="false">IF(ISERROR(MATCH(A29,'[1]liste reference'!$A$7:$A$906,0)),IF(ISERROR(MATCH(A29,'[1]liste reference'!$B$7:$B$906,0)),"",(MATCH(A29,'[1]liste reference'!$B$7:$B$906,0))),(MATCH(A29,'[1]liste reference'!$A$7:$A$906,0)))</f>
        <v>70</v>
      </c>
      <c r="Z29" s="210"/>
      <c r="AA29" s="211"/>
      <c r="BB29" s="8" t="n">
        <f aca="false">IF(A29="","",1)</f>
        <v>1</v>
      </c>
    </row>
    <row r="30" customFormat="false" ht="12.75" hidden="false" customHeight="false" outlineLevel="0" collapsed="false">
      <c r="A30" s="212" t="s">
        <v>80</v>
      </c>
      <c r="B30" s="213" t="n">
        <v>0.2</v>
      </c>
      <c r="C30" s="214" t="n">
        <v>0.3</v>
      </c>
      <c r="D30" s="215" t="str">
        <f aca="false">IF(ISERROR(VLOOKUP($A30,'[1]liste reference'!$A$7:$D$906,2,0)),IF(ISERROR(VLOOKUP($A30,'[1]liste reference'!$B$7:$D$906,1,0)),"",VLOOKUP($A30,'[1]liste reference'!$B$7:$D$906,1,0)),VLOOKUP($A30,'[1]liste reference'!$A$7:$D$906,2,0))</f>
        <v>Vaucheria sp.</v>
      </c>
      <c r="E30" s="215" t="e">
        <f aca="false">IF(D30="",0,VLOOKUP(D30,D$22:D29,1,0))</f>
        <v>#N/A</v>
      </c>
      <c r="F30" s="216" t="n">
        <f aca="false">($B30*$B$7+$C30*$C$7)/100</f>
        <v>0.24</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4</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Vaucheria sp.</v>
      </c>
      <c r="L30" s="220"/>
      <c r="M30" s="220"/>
      <c r="N30" s="220"/>
      <c r="O30" s="205"/>
      <c r="P30" s="206" t="n">
        <f aca="false">IF(ISTEXT(H30),"",(B30*$B$7/100)+(C30*$C$7/100))</f>
        <v>0.24</v>
      </c>
      <c r="Q30" s="207" t="n">
        <f aca="false">IF(OR(ISTEXT(H30),P30=0),"",IF(P30&lt;0.1,1,IF(P30&lt;1,2,IF(P30&lt;10,3,IF(P30&lt;50,4,IF(P30&gt;=50,5,""))))))</f>
        <v>2</v>
      </c>
      <c r="R30" s="207" t="n">
        <f aca="false">IF(ISERROR(Q30*I30),0,Q30*I30)</f>
        <v>8</v>
      </c>
      <c r="S30" s="207" t="n">
        <f aca="false">IF(ISERROR(Q30*I30*J30),0,Q30*I30*J30)</f>
        <v>8</v>
      </c>
      <c r="T30" s="221" t="n">
        <f aca="false">IF(ISERROR(Q30*J30),0,Q30*J30)</f>
        <v>2</v>
      </c>
      <c r="U30" s="208" t="str">
        <f aca="false">IF(AND(A30="",F30=0),"",IF(F30=0,"Il manque le(s) % de rec. !",""))</f>
        <v/>
      </c>
      <c r="V30" s="209"/>
      <c r="X30" s="207" t="str">
        <f aca="false">IF(A30="new.cod","NEW.COD",IF(AND((Y30=""),ISTEXT(A30)),A30,IF(Y30="","",INDEX('[1]liste reference'!$A$7:$A$906,Y30))))</f>
        <v>VAU.SPX</v>
      </c>
      <c r="Y30" s="8" t="n">
        <f aca="false">IF(ISERROR(MATCH(A30,'[1]liste reference'!$A$7:$A$906,0)),IF(ISERROR(MATCH(A30,'[1]liste reference'!$B$7:$B$906,0)),"",(MATCH(A30,'[1]liste reference'!$B$7:$B$906,0))),(MATCH(A30,'[1]liste reference'!$A$7:$A$906,0)))</f>
        <v>83</v>
      </c>
      <c r="Z30" s="210"/>
      <c r="AA30" s="211"/>
      <c r="BB30" s="8" t="n">
        <f aca="false">IF(A30="","",1)</f>
        <v>1</v>
      </c>
    </row>
    <row r="31" customFormat="false" ht="12.75" hidden="false" customHeight="false" outlineLevel="0" collapsed="false">
      <c r="A31" s="212" t="s">
        <v>81</v>
      </c>
      <c r="B31" s="213" t="n">
        <v>4</v>
      </c>
      <c r="C31" s="214" t="n">
        <v>1</v>
      </c>
      <c r="D31" s="215" t="str">
        <f aca="false">IF(ISERROR(VLOOKUP($A31,'[1]liste reference'!$A$7:$D$906,2,0)),IF(ISERROR(VLOOKUP($A31,'[1]liste reference'!$B$7:$D$906,1,0)),"",VLOOKUP($A31,'[1]liste reference'!$B$7:$D$906,1,0)),VLOOKUP($A31,'[1]liste reference'!$A$7:$D$906,2,0))</f>
        <v>Hildenbrandia rivularis</v>
      </c>
      <c r="E31" s="215" t="e">
        <f aca="false">IF(D31="",0,VLOOKUP(D31,D$21:D30,1,0))</f>
        <v>#N/A</v>
      </c>
      <c r="F31" s="216" t="n">
        <f aca="false">($B31*$B$7+$C31*$C$7)/100</f>
        <v>2.8</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Hildenbrandia rivularis</v>
      </c>
      <c r="L31" s="220"/>
      <c r="M31" s="220"/>
      <c r="N31" s="220"/>
      <c r="O31" s="205"/>
      <c r="P31" s="206" t="n">
        <f aca="false">IF(ISTEXT(H31),"",(B31*$B$7/100)+(C31*$C$7/100))</f>
        <v>2.8</v>
      </c>
      <c r="Q31" s="207" t="n">
        <f aca="false">IF(OR(ISTEXT(H31),P31=0),"",IF(P31&lt;0.1,1,IF(P31&lt;1,2,IF(P31&lt;10,3,IF(P31&lt;50,4,IF(P31&gt;=50,5,""))))))</f>
        <v>3</v>
      </c>
      <c r="R31" s="207" t="n">
        <f aca="false">IF(ISERROR(Q31*I31),0,Q31*I31)</f>
        <v>45</v>
      </c>
      <c r="S31" s="207" t="n">
        <f aca="false">IF(ISERROR(Q31*I31*J31),0,Q31*I31*J31)</f>
        <v>90</v>
      </c>
      <c r="T31" s="221" t="n">
        <f aca="false">IF(ISERROR(Q31*J31),0,Q31*J31)</f>
        <v>6</v>
      </c>
      <c r="U31" s="208" t="str">
        <f aca="false">IF(AND(A31="",F31=0),"",IF(F31=0,"Il manque le(s) % de rec. !",""))</f>
        <v/>
      </c>
      <c r="V31" s="209"/>
      <c r="W31" s="222"/>
      <c r="X31" s="207" t="str">
        <f aca="false">IF(A31="new.cod","NEW.COD",IF(AND((Y31=""),ISTEXT(A31)),A31,IF(Y31="","",INDEX('[1]liste reference'!$A$7:$A$906,Y31))))</f>
        <v>HIL.SPX</v>
      </c>
      <c r="Y31" s="8" t="n">
        <f aca="false">IF(ISERROR(MATCH(A31,'[1]liste reference'!$A$7:$A$906,0)),IF(ISERROR(MATCH(A31,'[1]liste reference'!$B$7:$B$906,0)),"",(MATCH(A31,'[1]liste reference'!$B$7:$B$906,0))),(MATCH(A31,'[1]liste reference'!$A$7:$A$906,0)))</f>
        <v>31</v>
      </c>
      <c r="Z31" s="210"/>
      <c r="AA31" s="211"/>
      <c r="BB31" s="8" t="n">
        <f aca="false">IF(A31="","",1)</f>
        <v>1</v>
      </c>
    </row>
    <row r="32" customFormat="false" ht="12.75" hidden="false" customHeight="false" outlineLevel="0" collapsed="false">
      <c r="A32" s="212" t="s">
        <v>82</v>
      </c>
      <c r="B32" s="213" t="n">
        <v>8</v>
      </c>
      <c r="C32" s="214" t="n">
        <v>1</v>
      </c>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5.2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0"/>
      <c r="M32" s="220"/>
      <c r="N32" s="220"/>
      <c r="O32" s="205"/>
      <c r="P32" s="206" t="n">
        <f aca="false">IF(ISTEXT(H32),"",(B32*$B$7/100)+(C32*$C$7/100))</f>
        <v>5.2</v>
      </c>
      <c r="Q32" s="207" t="n">
        <f aca="false">IF(OR(ISTEXT(H32),P32=0),"",IF(P32&lt;0.1,1,IF(P32&lt;1,2,IF(P32&lt;10,3,IF(P32&lt;50,4,IF(P32&gt;=50,5,""))))))</f>
        <v>3</v>
      </c>
      <c r="R32" s="207" t="n">
        <f aca="false">IF(ISERROR(Q32*I32),0,Q32*I32)</f>
        <v>15</v>
      </c>
      <c r="S32" s="207" t="n">
        <f aca="false">IF(ISERROR(Q32*I32*J32),0,Q32*I32*J32)</f>
        <v>30</v>
      </c>
      <c r="T32" s="221" t="n">
        <f aca="false">IF(ISERROR(Q32*J32),0,Q32*J32)</f>
        <v>6</v>
      </c>
      <c r="U32" s="208" t="str">
        <f aca="false">IF(AND(A32="",F32=0),"",IF(F32=0,"Il manque le(s) % de rec. !",""))</f>
        <v/>
      </c>
      <c r="V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75" hidden="false" customHeight="false" outlineLevel="0" collapsed="false">
      <c r="A33" s="212" t="s">
        <v>83</v>
      </c>
      <c r="B33" s="213" t="n">
        <v>0.02</v>
      </c>
      <c r="C33" s="214"/>
      <c r="D33" s="215" t="str">
        <f aca="false">IF(ISERROR(VLOOKUP($A33,'[1]liste reference'!$A$7:$D$906,2,0)),IF(ISERROR(VLOOKUP($A33,'[1]liste reference'!$B$7:$D$906,1,0)),"",VLOOKUP($A33,'[1]liste reference'!$B$7:$D$906,1,0)),VLOOKUP($A33,'[1]liste reference'!$A$7:$D$906,2,0))</f>
        <v>Chiloscyphus polyanthos var. polyanthos (C. polyanthos)</v>
      </c>
      <c r="E33" s="215" t="e">
        <f aca="false">IF(D33="",0,VLOOKUP(D33,D$22:D32,1,0))</f>
        <v>#N/A</v>
      </c>
      <c r="F33" s="216" t="n">
        <f aca="false">($B33*$B$7+$C33*$C$7)/100</f>
        <v>0.012</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Chiloscyphus polyanthos var. polyanthos (C. polyanthos)</v>
      </c>
      <c r="L33" s="223"/>
      <c r="M33" s="223"/>
      <c r="N33" s="223"/>
      <c r="O33" s="224"/>
      <c r="P33" s="206" t="n">
        <f aca="false">IF(ISTEXT(H33),"",(B33*$B$7/100)+(C33*$C$7/100))</f>
        <v>0.012</v>
      </c>
      <c r="Q33" s="207" t="n">
        <f aca="false">IF(OR(ISTEXT(H33),P33=0),"",IF(P33&lt;0.1,1,IF(P33&lt;1,2,IF(P33&lt;10,3,IF(P33&lt;50,4,IF(P33&gt;=50,5,""))))))</f>
        <v>1</v>
      </c>
      <c r="R33" s="207" t="n">
        <f aca="false">IF(ISERROR(Q33*I33),0,Q33*I33)</f>
        <v>15</v>
      </c>
      <c r="S33" s="207" t="n">
        <f aca="false">IF(ISERROR(Q33*I33*J33),0,Q33*I33*J33)</f>
        <v>30</v>
      </c>
      <c r="T33" s="221" t="n">
        <f aca="false">IF(ISERROR(Q33*J33),0,Q33*J33)</f>
        <v>2</v>
      </c>
      <c r="U33" s="208" t="str">
        <f aca="false">IF(AND(A33="",F33=0),"",IF(F33=0,"Il manque le(s) % de rec. !",""))</f>
        <v/>
      </c>
      <c r="V33" s="209"/>
      <c r="X33" s="207" t="str">
        <f aca="false">IF(A33="new.cod","NEW.COD",IF(AND((Y33=""),ISTEXT(A33)),A33,IF(Y33="","",INDEX('[1]liste reference'!$A$7:$A$906,Y33))))</f>
        <v>CHI.POL</v>
      </c>
      <c r="Y33" s="8" t="n">
        <f aca="false">IF(ISERROR(MATCH(A33,'[1]liste reference'!$A$7:$A$906,0)),IF(ISERROR(MATCH(A33,'[1]liste reference'!$B$7:$B$906,0)),"",(MATCH(A33,'[1]liste reference'!$B$7:$B$906,0))),(MATCH(A33,'[1]liste reference'!$A$7:$A$906,0)))</f>
        <v>98</v>
      </c>
      <c r="Z33" s="210"/>
      <c r="AA33" s="211"/>
      <c r="BB33" s="8" t="n">
        <f aca="false">IF(A33="","",1)</f>
        <v>1</v>
      </c>
    </row>
    <row r="34" customFormat="false" ht="12.75" hidden="false" customHeight="false" outlineLevel="0" collapsed="false">
      <c r="A34" s="212" t="s">
        <v>84</v>
      </c>
      <c r="B34" s="213"/>
      <c r="C34" s="214" t="n">
        <v>0.06</v>
      </c>
      <c r="D34" s="215" t="str">
        <f aca="false">IF(ISERROR(VLOOKUP($A34,'[1]liste reference'!$A$7:$D$906,2,0)),IF(ISERROR(VLOOKUP($A34,'[1]liste reference'!$B$7:$D$906,1,0)),"",VLOOKUP($A34,'[1]liste reference'!$B$7:$D$906,1,0)),VLOOKUP($A34,'[1]liste reference'!$A$7:$D$906,2,0))</f>
        <v>Conocephalum conicum</v>
      </c>
      <c r="E34" s="215" t="e">
        <f aca="false">IF(D34="",0,VLOOKUP(D34,D$22:D33,1,0))</f>
        <v>#N/A</v>
      </c>
      <c r="F34" s="225" t="n">
        <f aca="false">($B34*$B$7+$C34*$C$7)/100</f>
        <v>0.024</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Conocephalum conicum</v>
      </c>
      <c r="L34" s="223"/>
      <c r="M34" s="223"/>
      <c r="N34" s="223"/>
      <c r="O34" s="224"/>
      <c r="P34" s="206" t="n">
        <f aca="false">IF(ISTEXT(H34),"",(B34*$B$7/100)+(C34*$C$7/100))</f>
        <v>0.024</v>
      </c>
      <c r="Q34" s="207" t="n">
        <f aca="false">IF(OR(ISTEXT(H34),P34=0),"",IF(P34&lt;0.1,1,IF(P34&lt;1,2,IF(P34&lt;10,3,IF(P34&lt;50,4,IF(P34&gt;=50,5,""))))))</f>
        <v>1</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CON.CON</v>
      </c>
      <c r="Y34" s="8" t="n">
        <f aca="false">IF(ISERROR(MATCH(A34,'[1]liste reference'!$A$7:$A$906,0)),IF(ISERROR(MATCH(A34,'[1]liste reference'!$B$7:$B$906,0)),"",(MATCH(A34,'[1]liste reference'!$B$7:$B$906,0))),(MATCH(A34,'[1]liste reference'!$A$7:$A$906,0)))</f>
        <v>100</v>
      </c>
      <c r="Z34" s="210"/>
      <c r="AA34" s="211"/>
      <c r="BB34" s="8" t="n">
        <f aca="false">IF(A34="","",1)</f>
        <v>1</v>
      </c>
    </row>
    <row r="35" customFormat="false" ht="12.75" hidden="false" customHeight="false" outlineLevel="0" collapsed="false">
      <c r="A35" s="212" t="s">
        <v>85</v>
      </c>
      <c r="B35" s="213" t="n">
        <v>0.02</v>
      </c>
      <c r="C35" s="214" t="n">
        <v>0.02</v>
      </c>
      <c r="D35" s="215" t="str">
        <f aca="false">IF(ISERROR(VLOOKUP($A35,'[1]liste reference'!$A$7:$D$906,2,0)),IF(ISERROR(VLOOKUP($A35,'[1]liste reference'!$B$7:$D$906,1,0)),"",VLOOKUP($A35,'[1]liste reference'!$B$7:$D$906,1,0)),VLOOKUP($A35,'[1]liste reference'!$A$7:$D$906,2,0))</f>
        <v>Fissidens crassipes</v>
      </c>
      <c r="E35" s="215" t="e">
        <f aca="false">IF(D35="",0,VLOOKUP(D35,D$22:D34,1,0))</f>
        <v>#N/A</v>
      </c>
      <c r="F35" s="225" t="n">
        <f aca="false">($B35*$B$7+$C35*$C$7)/100</f>
        <v>0.02</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Fissidens crassipes</v>
      </c>
      <c r="L35" s="220"/>
      <c r="M35" s="220"/>
      <c r="N35" s="220"/>
      <c r="O35" s="205"/>
      <c r="P35" s="206" t="n">
        <f aca="false">IF(ISTEXT(H35),"",(B35*$B$7/100)+(C35*$C$7/100))</f>
        <v>0.02</v>
      </c>
      <c r="Q35" s="207" t="n">
        <f aca="false">IF(OR(ISTEXT(H35),P35=0),"",IF(P35&lt;0.1,1,IF(P35&lt;1,2,IF(P35&lt;10,3,IF(P35&lt;50,4,IF(P35&gt;=50,5,""))))))</f>
        <v>1</v>
      </c>
      <c r="R35" s="207" t="n">
        <f aca="false">IF(ISERROR(Q35*I35),0,Q35*I35)</f>
        <v>12</v>
      </c>
      <c r="S35" s="207" t="n">
        <f aca="false">IF(ISERROR(Q35*I35*J35),0,Q35*I35*J35)</f>
        <v>24</v>
      </c>
      <c r="T35" s="221" t="n">
        <f aca="false">IF(ISERROR(Q35*J35),0,Q35*J35)</f>
        <v>2</v>
      </c>
      <c r="U35" s="208" t="str">
        <f aca="false">IF(AND(A35="",F35=0),"",IF(F35=0,"Il manque le(s) % de rec. !",""))</f>
        <v/>
      </c>
      <c r="V35" s="209"/>
      <c r="X35" s="207" t="str">
        <f aca="false">IF(A35="new.cod","NEW.COD",IF(AND((Y35=""),ISTEXT(A35)),A35,IF(Y35="","",INDEX('[1]liste reference'!$A$7:$A$906,Y35))))</f>
        <v>FIS.CRA</v>
      </c>
      <c r="Y35" s="8" t="n">
        <f aca="false">IF(ISERROR(MATCH(A35,'[1]liste reference'!$A$7:$A$906,0)),IF(ISERROR(MATCH(A35,'[1]liste reference'!$B$7:$B$906,0)),"",(MATCH(A35,'[1]liste reference'!$B$7:$B$906,0))),(MATCH(A35,'[1]liste reference'!$A$7:$A$906,0)))</f>
        <v>198</v>
      </c>
      <c r="Z35" s="210"/>
      <c r="AA35" s="211"/>
      <c r="BB35" s="8" t="n">
        <f aca="false">IF(A35="","",1)</f>
        <v>1</v>
      </c>
    </row>
    <row r="36" customFormat="false" ht="12.75" hidden="false" customHeight="false" outlineLevel="0" collapsed="false">
      <c r="A36" s="212" t="s">
        <v>86</v>
      </c>
      <c r="B36" s="213" t="n">
        <v>1.5</v>
      </c>
      <c r="C36" s="214" t="n">
        <v>0.05</v>
      </c>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5" t="n">
        <f aca="false">($B36*$B$7+$C36*$C$7)/100</f>
        <v>0.92</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0.92</v>
      </c>
      <c r="Q36" s="207" t="n">
        <f aca="false">IF(OR(ISTEXT(H36),P36=0),"",IF(P36&lt;0.1,1,IF(P36&lt;1,2,IF(P36&lt;10,3,IF(P36&lt;50,4,IF(P36&gt;=50,5,""))))))</f>
        <v>2</v>
      </c>
      <c r="R36" s="207" t="n">
        <f aca="false">IF(ISERROR(Q36*I36),0,Q36*I36)</f>
        <v>20</v>
      </c>
      <c r="S36" s="207" t="n">
        <f aca="false">IF(ISERROR(Q36*I36*J36),0,Q36*I36*J36)</f>
        <v>20</v>
      </c>
      <c r="T36" s="221" t="n">
        <f aca="false">IF(ISERROR(Q36*J36),0,Q36*J36)</f>
        <v>2</v>
      </c>
      <c r="U36" s="208" t="str">
        <f aca="false">IF(AND(A36="",F36=0),"",IF(F36=0,"Il manque le(s) % de rec. !",""))</f>
        <v/>
      </c>
      <c r="V36" s="209"/>
      <c r="W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87</v>
      </c>
      <c r="B37" s="213"/>
      <c r="C37" s="214" t="n">
        <v>0.03</v>
      </c>
      <c r="D37" s="215" t="str">
        <f aca="false">IF(ISERROR(VLOOKUP($A37,'[1]liste reference'!$A$7:$D$906,2,0)),IF(ISERROR(VLOOKUP($A37,'[1]liste reference'!$B$7:$D$906,1,0)),"",VLOOKUP($A37,'[1]liste reference'!$B$7:$D$906,1,0)),VLOOKUP($A37,'[1]liste reference'!$A$7:$D$906,2,0))</f>
        <v>Lunularia cruciata</v>
      </c>
      <c r="E37" s="215" t="e">
        <f aca="false">IF(D37="",0,VLOOKUP(D37,D$22:D36,1,0))</f>
        <v>#N/A</v>
      </c>
      <c r="F37" s="225" t="n">
        <f aca="false">($B37*$B$7+$C37*$C$7)/100</f>
        <v>0.012</v>
      </c>
      <c r="G37" s="217"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Lunularia cruciata</v>
      </c>
      <c r="L37" s="220"/>
      <c r="M37" s="220"/>
      <c r="N37" s="220"/>
      <c r="O37" s="205"/>
      <c r="P37" s="206" t="n">
        <f aca="false">IF(ISTEXT(H37),"",(B37*$B$7/100)+(C37*$C$7/100))</f>
        <v>0.012</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LUN.CRU</v>
      </c>
      <c r="Y37" s="8" t="n">
        <f aca="false">IF(ISERROR(MATCH(A37,'[1]liste reference'!$A$7:$A$906,0)),IF(ISERROR(MATCH(A37,'[1]liste reference'!$B$7:$B$906,0)),"",(MATCH(A37,'[1]liste reference'!$B$7:$B$906,0))),(MATCH(A37,'[1]liste reference'!$A$7:$A$906,0)))</f>
        <v>110</v>
      </c>
      <c r="Z37" s="210"/>
      <c r="AA37" s="211"/>
      <c r="BB37" s="8" t="n">
        <f aca="false">IF(A37="","",1)</f>
        <v>1</v>
      </c>
    </row>
    <row r="38" customFormat="false" ht="12.75" hidden="false" customHeight="false" outlineLevel="0" collapsed="false">
      <c r="A38" s="212" t="s">
        <v>88</v>
      </c>
      <c r="B38" s="213"/>
      <c r="C38" s="214" t="n">
        <v>0.06</v>
      </c>
      <c r="D38" s="215" t="str">
        <f aca="false">IF(ISERROR(VLOOKUP($A38,'[1]liste reference'!$A$7:$D$906,2,0)),IF(ISERROR(VLOOKUP($A38,'[1]liste reference'!$B$7:$D$906,1,0)),"",VLOOKUP($A38,'[1]liste reference'!$B$7:$D$906,1,0)),VLOOKUP($A38,'[1]liste reference'!$A$7:$D$906,2,0))</f>
        <v>Pellia endiviifolia</v>
      </c>
      <c r="E38" s="215" t="e">
        <f aca="false">IF(D38="",0,VLOOKUP(D38,D$22:D37,1,0))</f>
        <v>#N/A</v>
      </c>
      <c r="F38" s="225" t="n">
        <f aca="false">($B38*$B$7+$C38*$C$7)/100</f>
        <v>0.024</v>
      </c>
      <c r="G38" s="217" t="str">
        <f aca="false">IF(A38="","",IF(ISERROR(VLOOKUP($A38,'[1]liste reference'!$A$7:$P$906,13,0)),IF(ISERROR(VLOOKUP($A38,'[1]liste reference'!$B$7:$P$906,12,0)),"    -",VLOOKUP($A38,'[1]liste reference'!$B$7:$P$906,12,0)),VLOOKUP($A38,'[1]liste reference'!$A$7:$P$906,13,0)))</f>
        <v>BRh</v>
      </c>
      <c r="H38" s="200" t="n">
        <f aca="false">IF(A38="","x",IF(ISERROR(VLOOKUP($A38,'[1]liste reference'!$A$7:$P$906,14,0)),IF(ISERROR(VLOOKUP($A38,'[1]liste reference'!$B$7:$P$906,13,0)),"x",VLOOKUP($A38,'[1]liste reference'!$B$7:$P$906,13,0)),VLOOKUP($A38,'[1]liste reference'!$A$7:$P$906,14,0)))</f>
        <v>4</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Pellia endiviifolia</v>
      </c>
      <c r="L38" s="220"/>
      <c r="M38" s="220"/>
      <c r="N38" s="220"/>
      <c r="O38" s="205" t="s">
        <v>89</v>
      </c>
      <c r="P38" s="206" t="n">
        <f aca="false">IF(ISTEXT(H38),"",(B38*$B$7/100)+(C38*$C$7/100))</f>
        <v>0.024</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PEL.END</v>
      </c>
      <c r="Y38" s="8" t="n">
        <f aca="false">IF(ISERROR(MATCH(A38,'[1]liste reference'!$A$7:$A$906,0)),IF(ISERROR(MATCH(A38,'[1]liste reference'!$B$7:$B$906,0)),"",(MATCH(A38,'[1]liste reference'!$B$7:$B$906,0))),(MATCH(A38,'[1]liste reference'!$A$7:$A$906,0)))</f>
        <v>121</v>
      </c>
      <c r="Z38" s="210" t="s">
        <v>89</v>
      </c>
      <c r="AA38" s="211"/>
      <c r="BB38" s="8" t="n">
        <f aca="false">IF(A38="","",1)</f>
        <v>1</v>
      </c>
    </row>
    <row r="39" customFormat="false" ht="12.75" hidden="false" customHeight="false" outlineLevel="0" collapsed="false">
      <c r="A39" s="212" t="s">
        <v>90</v>
      </c>
      <c r="B39" s="213" t="n">
        <v>1</v>
      </c>
      <c r="C39" s="214"/>
      <c r="D39" s="215" t="str">
        <f aca="false">IF(ISERROR(VLOOKUP($A39,'[1]liste reference'!$A$7:$D$906,2,0)),IF(ISERROR(VLOOKUP($A39,'[1]liste reference'!$B$7:$D$906,1,0)),"",VLOOKUP($A39,'[1]liste reference'!$B$7:$D$906,1,0)),VLOOKUP($A39,'[1]liste reference'!$A$7:$D$906,2,0))</f>
        <v>Rhynchostegium riparioides (Platyhypnidium rusciforme)</v>
      </c>
      <c r="E39" s="215" t="e">
        <f aca="false">IF(D39="",0,VLOOKUP(D39,D$22:D38,1,0))</f>
        <v>#N/A</v>
      </c>
      <c r="F39" s="225" t="n">
        <f aca="false">($B39*$B$7+$C39*$C$7)/100</f>
        <v>0.6</v>
      </c>
      <c r="G39" s="217"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Rhynchostegium riparioides (Platyhypnidium rusciforme)</v>
      </c>
      <c r="L39" s="220"/>
      <c r="M39" s="220"/>
      <c r="N39" s="220"/>
      <c r="O39" s="205"/>
      <c r="P39" s="206" t="n">
        <f aca="false">IF(ISTEXT(H39),"",(B39*$B$7/100)+(C39*$C$7/100))</f>
        <v>0.6</v>
      </c>
      <c r="Q39" s="207" t="n">
        <f aca="false">IF(OR(ISTEXT(H39),P39=0),"",IF(P39&lt;0.1,1,IF(P39&lt;1,2,IF(P39&lt;10,3,IF(P39&lt;50,4,IF(P39&gt;=50,5,""))))))</f>
        <v>2</v>
      </c>
      <c r="R39" s="207" t="n">
        <f aca="false">IF(ISERROR(Q39*I39),0,Q39*I39)</f>
        <v>24</v>
      </c>
      <c r="S39" s="207" t="n">
        <f aca="false">IF(ISERROR(Q39*I39*J39),0,Q39*I39*J39)</f>
        <v>24</v>
      </c>
      <c r="T39" s="221" t="n">
        <f aca="false">IF(ISERROR(Q39*J39),0,Q39*J39)</f>
        <v>2</v>
      </c>
      <c r="U39" s="208" t="str">
        <f aca="false">IF(AND(A39="",F39=0),"",IF(F39=0,"Il manque le(s) % de rec. !",""))</f>
        <v/>
      </c>
      <c r="V39" s="226"/>
      <c r="X39" s="207" t="str">
        <f aca="false">IF(A39="new.cod","NEW.COD",IF(AND((Y39=""),ISTEXT(A39)),A39,IF(Y39="","",INDEX('[1]liste reference'!$A$7:$A$906,Y39))))</f>
        <v>RHY.RIP</v>
      </c>
      <c r="Y39" s="8" t="n">
        <f aca="false">IF(ISERROR(MATCH(A39,'[1]liste reference'!$A$7:$A$906,0)),IF(ISERROR(MATCH(A39,'[1]liste reference'!$B$7:$B$906,0)),"",(MATCH(A39,'[1]liste reference'!$B$7:$B$906,0))),(MATCH(A39,'[1]liste reference'!$A$7:$A$906,0)))</f>
        <v>253</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t="s">
        <v>91</v>
      </c>
      <c r="B41" s="213" t="n">
        <v>0.03</v>
      </c>
      <c r="C41" s="214"/>
      <c r="D41" s="215" t="str">
        <f aca="false">IF(ISERROR(VLOOKUP($A41,'[1]liste reference'!$A$7:$D$906,2,0)),IF(ISERROR(VLOOKUP($A41,'[1]liste reference'!$B$7:$D$906,1,0)),"",VLOOKUP($A41,'[1]liste reference'!$B$7:$D$906,1,0)),VLOOKUP($A41,'[1]liste reference'!$A$7:$D$906,2,0))</f>
        <v>Agrostis stolonifera</v>
      </c>
      <c r="E41" s="215" t="e">
        <f aca="false">IF(D41="",0,VLOOKUP(D41,D$22:D40,1,0))</f>
        <v>#N/A</v>
      </c>
      <c r="F41" s="225" t="n">
        <f aca="false">($B41*$B$7+$C41*$C$7)/100</f>
        <v>0.018</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Agrostis stolonifera</v>
      </c>
      <c r="L41" s="220"/>
      <c r="M41" s="220"/>
      <c r="N41" s="220"/>
      <c r="O41" s="205"/>
      <c r="P41" s="206" t="n">
        <f aca="false">IF(ISTEXT(H41),"",(B41*$B$7/100)+(C41*$C$7/100))</f>
        <v>0.018</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AGR.STO</v>
      </c>
      <c r="Y41" s="8" t="n">
        <f aca="false">IF(ISERROR(MATCH(A41,'[1]liste reference'!$A$7:$A$906,0)),IF(ISERROR(MATCH(A41,'[1]liste reference'!$B$7:$B$906,0)),"",(MATCH(A41,'[1]liste reference'!$B$7:$B$906,0))),(MATCH(A41,'[1]liste reference'!$A$7:$A$906,0)))</f>
        <v>520</v>
      </c>
      <c r="Z41" s="210"/>
      <c r="AA41" s="211"/>
      <c r="BB41" s="8" t="n">
        <f aca="false">IF(A41="","",1)</f>
        <v>1</v>
      </c>
    </row>
    <row r="42" customFormat="false" ht="12.75" hidden="false" customHeight="false" outlineLevel="0" collapsed="false">
      <c r="A42" s="212" t="s">
        <v>92</v>
      </c>
      <c r="B42" s="213"/>
      <c r="C42" s="214" t="n">
        <v>0.1</v>
      </c>
      <c r="D42" s="215" t="str">
        <f aca="false">IF(ISERROR(VLOOKUP($A42,'[1]liste reference'!$A$7:$D$906,2,0)),IF(ISERROR(VLOOKUP($A42,'[1]liste reference'!$B$7:$D$906,1,0)),"",VLOOKUP($A42,'[1]liste reference'!$B$7:$D$906,1,0)),VLOOKUP($A42,'[1]liste reference'!$A$7:$D$906,2,0))</f>
        <v>Callitriche hamulata</v>
      </c>
      <c r="E42" s="215" t="e">
        <f aca="false">IF(D42="",0,VLOOKUP(D42,D$22:D41,1,0))</f>
        <v>#N/A</v>
      </c>
      <c r="F42" s="225" t="n">
        <f aca="false">($B42*$B$7+$C42*$C$7)/100</f>
        <v>0.04</v>
      </c>
      <c r="G42" s="217"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8" t="n">
        <f aca="false">IF(ISNUMBER(H42),IF(ISERROR(VLOOKUP($A42,'[1]liste reference'!$A$7:$P$906,3,0)),IF(ISERROR(VLOOKUP($A42,'[1]liste reference'!$B$7:$P$906,2,0)),"",VLOOKUP($A42,'[1]liste reference'!$B$7:$P$906,2,0)),VLOOKUP($A42,'[1]liste reference'!$A$7:$P$906,3,0)),"")</f>
        <v>12</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Callitriche hamulata</v>
      </c>
      <c r="L42" s="220"/>
      <c r="M42" s="220"/>
      <c r="N42" s="220"/>
      <c r="O42" s="205"/>
      <c r="P42" s="206" t="n">
        <f aca="false">IF(ISTEXT(H42),"",(B42*$B$7/100)+(C42*$C$7/100))</f>
        <v>0.04</v>
      </c>
      <c r="Q42" s="207" t="n">
        <f aca="false">IF(OR(ISTEXT(H42),P42=0),"",IF(P42&lt;0.1,1,IF(P42&lt;1,2,IF(P42&lt;10,3,IF(P42&lt;50,4,IF(P42&gt;=50,5,""))))))</f>
        <v>1</v>
      </c>
      <c r="R42" s="207" t="n">
        <f aca="false">IF(ISERROR(Q42*I42),0,Q42*I42)</f>
        <v>12</v>
      </c>
      <c r="S42" s="207" t="n">
        <f aca="false">IF(ISERROR(Q42*I42*J42),0,Q42*I42*J42)</f>
        <v>12</v>
      </c>
      <c r="T42" s="221" t="n">
        <f aca="false">IF(ISERROR(Q42*J42),0,Q42*J42)</f>
        <v>1</v>
      </c>
      <c r="U42" s="208" t="str">
        <f aca="false">IF(AND(A42="",F42=0),"",IF(F42=0,"Il manque le(s) % de rec. !",""))</f>
        <v/>
      </c>
      <c r="V42" s="209"/>
      <c r="X42" s="207" t="str">
        <f aca="false">IF(A42="new.cod","NEW.COD",IF(AND((Y42=""),ISTEXT(A42)),A42,IF(Y42="","",INDEX('[1]liste reference'!$A$7:$A$906,Y42))))</f>
        <v>CAL.HAM</v>
      </c>
      <c r="Y42" s="8" t="n">
        <f aca="false">IF(ISERROR(MATCH(A42,'[1]liste reference'!$A$7:$A$906,0)),IF(ISERROR(MATCH(A42,'[1]liste reference'!$B$7:$B$906,0)),"",(MATCH(A42,'[1]liste reference'!$B$7:$B$906,0))),(MATCH(A42,'[1]liste reference'!$A$7:$A$906,0)))</f>
        <v>318</v>
      </c>
      <c r="Z42" s="210"/>
      <c r="AA42" s="211"/>
      <c r="BB42" s="8" t="n">
        <f aca="false">IF(A42="","",1)</f>
        <v>1</v>
      </c>
    </row>
    <row r="43" customFormat="false" ht="12.75" hidden="false" customHeight="false" outlineLevel="0" collapsed="false">
      <c r="A43" s="212" t="s">
        <v>93</v>
      </c>
      <c r="B43" s="213" t="n">
        <v>0.3</v>
      </c>
      <c r="C43" s="214"/>
      <c r="D43" s="215" t="str">
        <f aca="false">IF(ISERROR(VLOOKUP($A43,'[1]liste reference'!$A$7:$D$906,2,0)),IF(ISERROR(VLOOKUP($A43,'[1]liste reference'!$B$7:$D$906,1,0)),"",VLOOKUP($A43,'[1]liste reference'!$B$7:$D$906,1,0)),VLOOKUP($A43,'[1]liste reference'!$A$7:$D$906,2,0))</f>
        <v>Callitriche platycarpa</v>
      </c>
      <c r="E43" s="215" t="e">
        <f aca="false">IF(D43="",0,VLOOKUP(D43,D$22:D42,1,0))</f>
        <v>#N/A</v>
      </c>
      <c r="F43" s="225" t="n">
        <f aca="false">($B43*$B$7+$C43*$C$7)/100</f>
        <v>0.18</v>
      </c>
      <c r="G43" s="217"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8"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1</v>
      </c>
      <c r="K43" s="219" t="str">
        <f aca="false">IF(A43="NEW.COD",AA43,IF(ISTEXT($E43),"DEJA SAISI !",IF(A43="","",IF(ISERROR(VLOOKUP($A43,'[1]liste reference'!$A$7:$D$906,2,0)),IF(ISERROR(VLOOKUP($A43,'[1]liste reference'!$B$7:$D$906,1,0)),"code non répertorié ou synonyme",VLOOKUP($A43,'[1]liste reference'!$B$7:$D$906,1,0)),VLOOKUP(A43,'[1]liste reference'!$A$7:$D$906,2,0)))))</f>
        <v>Callitriche platycarpa</v>
      </c>
      <c r="L43" s="220"/>
      <c r="M43" s="220"/>
      <c r="N43" s="220"/>
      <c r="O43" s="205"/>
      <c r="P43" s="206" t="n">
        <f aca="false">IF(ISTEXT(H43),"",(B43*$B$7/100)+(C43*$C$7/100))</f>
        <v>0.18</v>
      </c>
      <c r="Q43" s="207" t="n">
        <f aca="false">IF(OR(ISTEXT(H43),P43=0),"",IF(P43&lt;0.1,1,IF(P43&lt;1,2,IF(P43&lt;10,3,IF(P43&lt;50,4,IF(P43&gt;=50,5,""))))))</f>
        <v>2</v>
      </c>
      <c r="R43" s="207" t="n">
        <f aca="false">IF(ISERROR(Q43*I43),0,Q43*I43)</f>
        <v>20</v>
      </c>
      <c r="S43" s="207" t="n">
        <f aca="false">IF(ISERROR(Q43*I43*J43),0,Q43*I43*J43)</f>
        <v>20</v>
      </c>
      <c r="T43" s="221" t="n">
        <f aca="false">IF(ISERROR(Q43*J43),0,Q43*J43)</f>
        <v>2</v>
      </c>
      <c r="U43" s="208" t="str">
        <f aca="false">IF(AND(A43="",F43=0),"",IF(F43=0,"Il manque le(s) % de rec. !",""))</f>
        <v/>
      </c>
      <c r="V43" s="209"/>
      <c r="X43" s="207" t="str">
        <f aca="false">IF(A43="new.cod","NEW.COD",IF(AND((Y43=""),ISTEXT(A43)),A43,IF(Y43="","",INDEX('[1]liste reference'!$A$7:$A$906,Y43))))</f>
        <v>CAL.PLA</v>
      </c>
      <c r="Y43" s="8" t="n">
        <f aca="false">IF(ISERROR(MATCH(A43,'[1]liste reference'!$A$7:$A$906,0)),IF(ISERROR(MATCH(A43,'[1]liste reference'!$B$7:$B$906,0)),"",(MATCH(A43,'[1]liste reference'!$B$7:$B$906,0))),(MATCH(A43,'[1]liste reference'!$A$7:$A$906,0)))</f>
        <v>326</v>
      </c>
      <c r="Z43" s="210"/>
      <c r="AA43" s="211"/>
      <c r="BB43" s="8" t="n">
        <f aca="false">IF(A43="","",1)</f>
        <v>1</v>
      </c>
    </row>
    <row r="44" customFormat="false" ht="12.75" hidden="false" customHeight="false" outlineLevel="0" collapsed="false">
      <c r="A44" s="212" t="s">
        <v>94</v>
      </c>
      <c r="B44" s="213"/>
      <c r="C44" s="214" t="n">
        <v>0.02</v>
      </c>
      <c r="D44" s="215" t="str">
        <f aca="false">IF(ISERROR(VLOOKUP($A44,'[1]liste reference'!$A$7:$D$906,2,0)),IF(ISERROR(VLOOKUP($A44,'[1]liste reference'!$B$7:$D$906,1,0)),"",VLOOKUP($A44,'[1]liste reference'!$B$7:$D$906,1,0)),VLOOKUP($A44,'[1]liste reference'!$A$7:$D$906,2,0))</f>
        <v>Equisetum arvense</v>
      </c>
      <c r="E44" s="215" t="e">
        <f aca="false">IF(D44="",0,VLOOKUP(D44,D$22:D43,1,0))</f>
        <v>#N/A</v>
      </c>
      <c r="F44" s="225" t="n">
        <f aca="false">($B44*$B$7+$C44*$C$7)/100</f>
        <v>0.008</v>
      </c>
      <c r="G44" s="217" t="str">
        <f aca="false">IF(A44="","",IF(ISERROR(VLOOKUP($A44,'[1]liste reference'!$A$7:$P$906,13,0)),IF(ISERROR(VLOOKUP($A44,'[1]liste reference'!$B$7:$P$906,12,0)),"    -",VLOOKUP($A44,'[1]liste reference'!$B$7:$P$906,12,0)),VLOOKUP($A44,'[1]liste reference'!$A$7:$P$906,13,0)))</f>
        <v>PTE</v>
      </c>
      <c r="H44" s="200" t="n">
        <f aca="false">IF(A44="","x",IF(ISERROR(VLOOKUP($A44,'[1]liste reference'!$A$7:$P$906,14,0)),IF(ISERROR(VLOOKUP($A44,'[1]liste reference'!$B$7:$P$906,13,0)),"x",VLOOKUP($A44,'[1]liste reference'!$B$7:$P$906,13,0)),VLOOKUP($A44,'[1]liste reference'!$A$7:$P$906,14,0)))</f>
        <v>6</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Equisetum arvense</v>
      </c>
      <c r="L44" s="220"/>
      <c r="M44" s="220"/>
      <c r="N44" s="220"/>
      <c r="O44" s="205"/>
      <c r="P44" s="206" t="n">
        <f aca="false">IF(ISTEXT(H44),"",(B44*$B$7/100)+(C44*$C$7/100))</f>
        <v>0.008</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EQU.ARV</v>
      </c>
      <c r="Y44" s="8" t="n">
        <f aca="false">IF(ISERROR(MATCH(A44,'[1]liste reference'!$A$7:$A$906,0)),IF(ISERROR(MATCH(A44,'[1]liste reference'!$B$7:$B$906,0)),"",(MATCH(A44,'[1]liste reference'!$B$7:$B$906,0))),(MATCH(A44,'[1]liste reference'!$A$7:$A$906,0)))</f>
        <v>279</v>
      </c>
      <c r="Z44" s="210"/>
      <c r="AA44" s="211"/>
      <c r="BB44" s="8" t="n">
        <f aca="false">IF(A44="","",1)</f>
        <v>1</v>
      </c>
    </row>
    <row r="45" customFormat="false" ht="12.75" hidden="false" customHeight="false" outlineLevel="0" collapsed="false">
      <c r="A45" s="212" t="s">
        <v>95</v>
      </c>
      <c r="B45" s="213" t="n">
        <v>0.1</v>
      </c>
      <c r="C45" s="214"/>
      <c r="D45" s="215" t="str">
        <f aca="false">IF(ISERROR(VLOOKUP($A45,'[1]liste reference'!$A$7:$D$906,2,0)),IF(ISERROR(VLOOKUP($A45,'[1]liste reference'!$B$7:$D$906,1,0)),"",VLOOKUP($A45,'[1]liste reference'!$B$7:$D$906,1,0)),VLOOKUP($A45,'[1]liste reference'!$A$7:$D$906,2,0))</f>
        <v>Iris pseudacorus</v>
      </c>
      <c r="E45" s="215" t="e">
        <f aca="false">IF(D45="",0,VLOOKUP(D45,D$22:D44,1,0))</f>
        <v>#N/A</v>
      </c>
      <c r="F45" s="225" t="n">
        <f aca="false">($B45*$B$7+$C45*$C$7)/100</f>
        <v>0.06</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Iris pseudacorus</v>
      </c>
      <c r="L45" s="220"/>
      <c r="M45" s="220"/>
      <c r="N45" s="220"/>
      <c r="O45" s="205"/>
      <c r="P45" s="206" t="n">
        <f aca="false">IF(ISTEXT(H45),"",(B45*$B$7/100)+(C45*$C$7/100))</f>
        <v>0.06</v>
      </c>
      <c r="Q45" s="207" t="n">
        <f aca="false">IF(OR(ISTEXT(H45),P45=0),"",IF(P45&lt;0.1,1,IF(P45&lt;1,2,IF(P45&lt;10,3,IF(P45&lt;50,4,IF(P45&gt;=50,5,""))))))</f>
        <v>1</v>
      </c>
      <c r="R45" s="207" t="n">
        <f aca="false">IF(ISERROR(Q45*I45),0,Q45*I45)</f>
        <v>10</v>
      </c>
      <c r="S45" s="207" t="n">
        <f aca="false">IF(ISERROR(Q45*I45*J45),0,Q45*I45*J45)</f>
        <v>10</v>
      </c>
      <c r="T45" s="221" t="n">
        <f aca="false">IF(ISERROR(Q45*J45),0,Q45*J45)</f>
        <v>1</v>
      </c>
      <c r="U45" s="208" t="str">
        <f aca="false">IF(AND(A45="",F45=0),"",IF(F45=0,"Il manque le(s) % de rec. !",""))</f>
        <v/>
      </c>
      <c r="V45" s="209"/>
      <c r="X45" s="207" t="str">
        <f aca="false">IF(A45="new.cod","NEW.COD",IF(AND((Y45=""),ISTEXT(A45)),A45,IF(Y45="","",INDEX('[1]liste reference'!$A$7:$A$906,Y45))))</f>
        <v>IRI.PSE</v>
      </c>
      <c r="Y45" s="8" t="n">
        <f aca="false">IF(ISERROR(MATCH(A45,'[1]liste reference'!$A$7:$A$906,0)),IF(ISERROR(MATCH(A45,'[1]liste reference'!$B$7:$B$906,0)),"",(MATCH(A45,'[1]liste reference'!$B$7:$B$906,0))),(MATCH(A45,'[1]liste reference'!$A$7:$A$906,0)))</f>
        <v>588</v>
      </c>
      <c r="Z45" s="210"/>
      <c r="AA45" s="211"/>
      <c r="BB45" s="8" t="n">
        <f aca="false">IF(A45="","",1)</f>
        <v>1</v>
      </c>
    </row>
    <row r="46" customFormat="false" ht="12.75" hidden="false" customHeight="false" outlineLevel="0" collapsed="false">
      <c r="A46" s="212" t="s">
        <v>96</v>
      </c>
      <c r="B46" s="213"/>
      <c r="C46" s="214" t="n">
        <v>0.02</v>
      </c>
      <c r="D46" s="215" t="str">
        <f aca="false">IF(ISERROR(VLOOKUP($A46,'[1]liste reference'!$A$7:$D$906,2,0)),IF(ISERROR(VLOOKUP($A46,'[1]liste reference'!$B$7:$D$906,1,0)),"",VLOOKUP($A46,'[1]liste reference'!$B$7:$D$906,1,0)),VLOOKUP($A46,'[1]liste reference'!$A$7:$D$906,2,0))</f>
        <v>Lycopus europaeus</v>
      </c>
      <c r="E46" s="215" t="e">
        <f aca="false">IF(D46="",0,VLOOKUP(D46,D$22:D45,1,0))</f>
        <v>#N/A</v>
      </c>
      <c r="F46" s="225" t="n">
        <f aca="false">($B46*$B$7+$C46*$C$7)/100</f>
        <v>0.008</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n">
        <f aca="false">IF(ISNUMBER(H46),IF(ISERROR(VLOOKUP($A46,'[1]liste reference'!$A$7:$P$906,3,0)),IF(ISERROR(VLOOKUP($A46,'[1]liste reference'!$B$7:$P$906,2,0)),"",VLOOKUP($A46,'[1]liste reference'!$B$7:$P$906,2,0)),VLOOKUP($A46,'[1]liste reference'!$A$7:$P$906,3,0)),"")</f>
        <v>11</v>
      </c>
      <c r="J46" s="202" t="n">
        <f aca="false">IF(ISNUMBER(H46),IF(ISERROR(VLOOKUP($A46,'[1]liste reference'!$A$7:$P$906,4,0)),IF(ISERROR(VLOOKUP($A46,'[1]liste reference'!$B$7:$P$906,3,0)),"",VLOOKUP($A46,'[1]liste reference'!$B$7:$P$906,3,0)),VLOOKUP($A46,'[1]liste reference'!$A$7:$P$906,4,0)),"")</f>
        <v>1</v>
      </c>
      <c r="K46" s="219" t="str">
        <f aca="false">IF(A46="NEW.COD",AA46,IF(ISTEXT($E46),"DEJA SAISI !",IF(A46="","",IF(ISERROR(VLOOKUP($A46,'[1]liste reference'!$A$7:$D$906,2,0)),IF(ISERROR(VLOOKUP($A46,'[1]liste reference'!$B$7:$D$906,1,0)),"code non répertorié ou synonyme",VLOOKUP($A46,'[1]liste reference'!$B$7:$D$906,1,0)),VLOOKUP(A46,'[1]liste reference'!$A$7:$D$906,2,0)))))</f>
        <v>Lycopus europaeus</v>
      </c>
      <c r="L46" s="220"/>
      <c r="M46" s="220"/>
      <c r="N46" s="220"/>
      <c r="O46" s="205"/>
      <c r="P46" s="206" t="n">
        <f aca="false">IF(ISTEXT(H46),"",(B46*$B$7/100)+(C46*$C$7/100))</f>
        <v>0.008</v>
      </c>
      <c r="Q46" s="207" t="n">
        <f aca="false">IF(OR(ISTEXT(H46),P46=0),"",IF(P46&lt;0.1,1,IF(P46&lt;1,2,IF(P46&lt;10,3,IF(P46&lt;50,4,IF(P46&gt;=50,5,""))))))</f>
        <v>1</v>
      </c>
      <c r="R46" s="207" t="n">
        <f aca="false">IF(ISERROR(Q46*I46),0,Q46*I46)</f>
        <v>11</v>
      </c>
      <c r="S46" s="207" t="n">
        <f aca="false">IF(ISERROR(Q46*I46*J46),0,Q46*I46*J46)</f>
        <v>11</v>
      </c>
      <c r="T46" s="221" t="n">
        <f aca="false">IF(ISERROR(Q46*J46),0,Q46*J46)</f>
        <v>1</v>
      </c>
      <c r="U46" s="208" t="str">
        <f aca="false">IF(AND(A46="",F46=0),"",IF(F46=0,"Il manque le(s) % de rec. !",""))</f>
        <v/>
      </c>
      <c r="V46" s="209"/>
      <c r="X46" s="207" t="str">
        <f aca="false">IF(A46="new.cod","NEW.COD",IF(AND((Y46=""),ISTEXT(A46)),A46,IF(Y46="","",INDEX('[1]liste reference'!$A$7:$A$906,Y46))))</f>
        <v>LYC.EUR</v>
      </c>
      <c r="Y46" s="8" t="n">
        <f aca="false">IF(ISERROR(MATCH(A46,'[1]liste reference'!$A$7:$A$906,0)),IF(ISERROR(MATCH(A46,'[1]liste reference'!$B$7:$B$906,0)),"",(MATCH(A46,'[1]liste reference'!$B$7:$B$906,0))),(MATCH(A46,'[1]liste reference'!$A$7:$A$906,0)))</f>
        <v>602</v>
      </c>
      <c r="Z46" s="210"/>
      <c r="AA46" s="211"/>
      <c r="BB46" s="8" t="n">
        <f aca="false">IF(A46="","",1)</f>
        <v>1</v>
      </c>
    </row>
    <row r="47" customFormat="false" ht="12.75" hidden="false" customHeight="false" outlineLevel="0" collapsed="false">
      <c r="A47" s="212" t="s">
        <v>97</v>
      </c>
      <c r="B47" s="213" t="n">
        <v>0.1</v>
      </c>
      <c r="C47" s="214" t="n">
        <v>0.05</v>
      </c>
      <c r="D47" s="215" t="str">
        <f aca="false">IF(ISERROR(VLOOKUP($A47,'[1]liste reference'!$A$7:$D$906,2,0)),IF(ISERROR(VLOOKUP($A47,'[1]liste reference'!$B$7:$D$906,1,0)),"",VLOOKUP($A47,'[1]liste reference'!$B$7:$D$906,1,0)),VLOOKUP($A47,'[1]liste reference'!$A$7:$D$906,2,0))</f>
        <v>Phalaris arundinacea</v>
      </c>
      <c r="E47" s="215" t="e">
        <f aca="false">IF(D47="",0,VLOOKUP(D47,D$22:D46,1,0))</f>
        <v>#N/A</v>
      </c>
      <c r="F47" s="225" t="n">
        <f aca="false">($B47*$B$7+$C47*$C$7)/100</f>
        <v>0.08</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Phalaris arundinacea</v>
      </c>
      <c r="L47" s="220"/>
      <c r="M47" s="220"/>
      <c r="N47" s="220"/>
      <c r="O47" s="205"/>
      <c r="P47" s="206" t="n">
        <f aca="false">IF(ISTEXT(H47),"",(B47*$B$7/100)+(C47*$C$7/100))</f>
        <v>0.08</v>
      </c>
      <c r="Q47" s="207" t="n">
        <f aca="false">IF(OR(ISTEXT(H47),P47=0),"",IF(P47&lt;0.1,1,IF(P47&lt;1,2,IF(P47&lt;10,3,IF(P47&lt;50,4,IF(P47&gt;=50,5,""))))))</f>
        <v>1</v>
      </c>
      <c r="R47" s="207" t="n">
        <f aca="false">IF(ISERROR(Q47*I47),0,Q47*I47)</f>
        <v>10</v>
      </c>
      <c r="S47" s="207" t="n">
        <f aca="false">IF(ISERROR(Q47*I47*J47),0,Q47*I47*J47)</f>
        <v>10</v>
      </c>
      <c r="T47" s="221" t="n">
        <f aca="false">IF(ISERROR(Q47*J47),0,Q47*J47)</f>
        <v>1</v>
      </c>
      <c r="U47" s="208" t="str">
        <f aca="false">IF(AND(A47="",F47=0),"",IF(F47=0,"Il manque le(s) % de rec. !",""))</f>
        <v/>
      </c>
      <c r="V47" s="209"/>
      <c r="X47" s="207" t="str">
        <f aca="false">IF(A47="new.cod","NEW.COD",IF(AND((Y47=""),ISTEXT(A47)),A47,IF(Y47="","",INDEX('[1]liste reference'!$A$7:$A$906,Y47))))</f>
        <v>PHA.ARU</v>
      </c>
      <c r="Y47" s="8" t="n">
        <f aca="false">IF(ISERROR(MATCH(A47,'[1]liste reference'!$A$7:$A$906,0)),IF(ISERROR(MATCH(A47,'[1]liste reference'!$B$7:$B$906,0)),"",(MATCH(A47,'[1]liste reference'!$B$7:$B$906,0))),(MATCH(A47,'[1]liste reference'!$A$7:$A$906,0)))</f>
        <v>640</v>
      </c>
      <c r="Z47" s="210"/>
      <c r="AA47" s="211"/>
      <c r="BB47" s="8" t="n">
        <f aca="false">IF(A47="","",1)</f>
        <v>1</v>
      </c>
    </row>
    <row r="48" customFormat="false" ht="12.75" hidden="false" customHeight="false" outlineLevel="0" collapsed="false">
      <c r="A48" s="212" t="s">
        <v>98</v>
      </c>
      <c r="B48" s="213"/>
      <c r="C48" s="214" t="n">
        <v>0.02</v>
      </c>
      <c r="D48" s="215" t="str">
        <f aca="false">IF(ISERROR(VLOOKUP($A48,'[1]liste reference'!$A$7:$D$906,2,0)),IF(ISERROR(VLOOKUP($A48,'[1]liste reference'!$B$7:$D$906,1,0)),"",VLOOKUP($A48,'[1]liste reference'!$B$7:$D$906,1,0)),VLOOKUP($A48,'[1]liste reference'!$A$7:$D$906,2,0))</f>
        <v>Polygonum hydropiper (Persicaria hydropiper)</v>
      </c>
      <c r="E48" s="215" t="e">
        <f aca="false">IF(D48="",0,VLOOKUP(D48,D$22:D47,1,0))</f>
        <v>#N/A</v>
      </c>
      <c r="F48" s="225" t="n">
        <f aca="false">($B48*$B$7+$C48*$C$7)/100</f>
        <v>0.008</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8</v>
      </c>
      <c r="J48" s="202" t="n">
        <f aca="false">IF(ISNUMBER(H48),IF(ISERROR(VLOOKUP($A48,'[1]liste reference'!$A$7:$P$906,4,0)),IF(ISERROR(VLOOKUP($A48,'[1]liste reference'!$B$7:$P$906,3,0)),"",VLOOKUP($A48,'[1]liste reference'!$B$7:$P$906,3,0)),VLOOKUP($A48,'[1]liste reference'!$A$7:$P$906,4,0)),"")</f>
        <v>2</v>
      </c>
      <c r="K48" s="219" t="str">
        <f aca="false">IF(A48="NEW.COD",AA48,IF(ISTEXT($E48),"DEJA SAISI !",IF(A48="","",IF(ISERROR(VLOOKUP($A48,'[1]liste reference'!$A$7:$D$906,2,0)),IF(ISERROR(VLOOKUP($A48,'[1]liste reference'!$B$7:$D$906,1,0)),"code non répertorié ou synonyme",VLOOKUP($A48,'[1]liste reference'!$B$7:$D$906,1,0)),VLOOKUP(A48,'[1]liste reference'!$A$7:$D$906,2,0)))))</f>
        <v>Polygonum hydropiper (Persicaria hydropiper)</v>
      </c>
      <c r="L48" s="220"/>
      <c r="M48" s="220"/>
      <c r="N48" s="220"/>
      <c r="O48" s="205"/>
      <c r="P48" s="206" t="n">
        <f aca="false">IF(ISTEXT(H48),"",(B48*$B$7/100)+(C48*$C$7/100))</f>
        <v>0.008</v>
      </c>
      <c r="Q48" s="207" t="n">
        <f aca="false">IF(OR(ISTEXT(H48),P48=0),"",IF(P48&lt;0.1,1,IF(P48&lt;1,2,IF(P48&lt;10,3,IF(P48&lt;50,4,IF(P48&gt;=50,5,""))))))</f>
        <v>1</v>
      </c>
      <c r="R48" s="207" t="n">
        <f aca="false">IF(ISERROR(Q48*I48),0,Q48*I48)</f>
        <v>8</v>
      </c>
      <c r="S48" s="207" t="n">
        <f aca="false">IF(ISERROR(Q48*I48*J48),0,Q48*I48*J48)</f>
        <v>16</v>
      </c>
      <c r="T48" s="221" t="n">
        <f aca="false">IF(ISERROR(Q48*J48),0,Q48*J48)</f>
        <v>2</v>
      </c>
      <c r="U48" s="208" t="str">
        <f aca="false">IF(AND(A48="",F48=0),"",IF(F48=0,"Il manque le(s) % de rec. !",""))</f>
        <v/>
      </c>
      <c r="V48" s="209"/>
      <c r="X48" s="207" t="str">
        <f aca="false">IF(A48="new.cod","NEW.COD",IF(AND((Y48=""),ISTEXT(A48)),A48,IF(Y48="","",INDEX('[1]liste reference'!$A$7:$A$906,Y48))))</f>
        <v>POL.HYD</v>
      </c>
      <c r="Y48" s="8" t="n">
        <f aca="false">IF(ISERROR(MATCH(A48,'[1]liste reference'!$A$7:$A$906,0)),IF(ISERROR(MATCH(A48,'[1]liste reference'!$B$7:$B$906,0)),"",(MATCH(A48,'[1]liste reference'!$B$7:$B$906,0))),(MATCH(A48,'[1]liste reference'!$A$7:$A$906,0)))</f>
        <v>643</v>
      </c>
      <c r="Z48" s="210"/>
      <c r="AA48" s="211"/>
      <c r="BB48" s="8" t="n">
        <f aca="false">IF(A48="","",1)</f>
        <v>1</v>
      </c>
    </row>
    <row r="49" customFormat="false" ht="12.75" hidden="false" customHeight="false" outlineLevel="0" collapsed="false">
      <c r="A49" s="212" t="s">
        <v>99</v>
      </c>
      <c r="B49" s="213"/>
      <c r="C49" s="214" t="n">
        <v>0.02</v>
      </c>
      <c r="D49" s="215" t="str">
        <f aca="false">IF(ISERROR(VLOOKUP($A49,'[1]liste reference'!$A$7:$D$906,2,0)),IF(ISERROR(VLOOKUP($A49,'[1]liste reference'!$B$7:$D$906,1,0)),"",VLOOKUP($A49,'[1]liste reference'!$B$7:$D$906,1,0)),VLOOKUP($A49,'[1]liste reference'!$A$7:$D$906,2,0))</f>
        <v>Ranunculus repens</v>
      </c>
      <c r="E49" s="215" t="e">
        <f aca="false">IF(D49="",0,VLOOKUP(D49,D$22:D48,1,0))</f>
        <v>#N/A</v>
      </c>
      <c r="F49" s="225" t="n">
        <f aca="false">($B49*$B$7+$C49*$C$7)/100</f>
        <v>0.008</v>
      </c>
      <c r="G49" s="217" t="str">
        <f aca="false">IF(A49="","",IF(ISERROR(VLOOKUP($A49,'[1]liste reference'!$A$7:$P$906,13,0)),IF(ISERROR(VLOOKUP($A49,'[1]liste reference'!$B$7:$P$906,12,0)),"    -",VLOOKUP($A49,'[1]liste reference'!$B$7:$P$906,12,0)),VLOOKUP($A49,'[1]liste reference'!$A$7:$P$906,13,0)))</f>
        <v>PHg</v>
      </c>
      <c r="H49" s="200" t="n">
        <f aca="false">IF(A49="","x",IF(ISERROR(VLOOKUP($A49,'[1]liste reference'!$A$7:$P$906,14,0)),IF(ISERROR(VLOOKUP($A49,'[1]liste reference'!$B$7:$P$906,13,0)),"x",VLOOKUP($A49,'[1]liste reference'!$B$7:$P$906,13,0)),VLOOKUP($A49,'[1]liste reference'!$A$7:$P$906,14,0)))</f>
        <v>9</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Ranunculus repens</v>
      </c>
      <c r="L49" s="220"/>
      <c r="M49" s="220"/>
      <c r="N49" s="220"/>
      <c r="O49" s="205"/>
      <c r="P49" s="206" t="n">
        <f aca="false">IF(ISTEXT(H49),"",(B49*$B$7/100)+(C49*$C$7/100))</f>
        <v>0.008</v>
      </c>
      <c r="Q49" s="207" t="n">
        <f aca="false">IF(OR(ISTEXT(H49),P49=0),"",IF(P49&lt;0.1,1,IF(P49&lt;1,2,IF(P49&lt;10,3,IF(P49&lt;50,4,IF(P49&gt;=50,5,""))))))</f>
        <v>1</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RAN.REP</v>
      </c>
      <c r="Y49" s="8" t="n">
        <f aca="false">IF(ISERROR(MATCH(A49,'[1]liste reference'!$A$7:$A$906,0)),IF(ISERROR(MATCH(A49,'[1]liste reference'!$B$7:$B$906,0)),"",(MATCH(A49,'[1]liste reference'!$B$7:$B$906,0))),(MATCH(A49,'[1]liste reference'!$A$7:$A$906,0)))</f>
        <v>810</v>
      </c>
      <c r="Z49" s="210"/>
      <c r="AA49" s="211"/>
      <c r="BB49" s="8" t="n">
        <f aca="false">IF(A49="","",1)</f>
        <v>1</v>
      </c>
    </row>
    <row r="50" customFormat="false" ht="12.75" hidden="false" customHeight="false" outlineLevel="0" collapsed="false">
      <c r="A50" s="212" t="s">
        <v>100</v>
      </c>
      <c r="B50" s="213" t="n">
        <v>0.05</v>
      </c>
      <c r="C50" s="214" t="n">
        <v>0.02</v>
      </c>
      <c r="D50" s="215" t="str">
        <f aca="false">IF(ISERROR(VLOOKUP($A50,'[1]liste reference'!$A$7:$D$906,2,0)),IF(ISERROR(VLOOKUP($A50,'[1]liste reference'!$B$7:$D$906,1,0)),"",VLOOKUP($A50,'[1]liste reference'!$B$7:$D$906,1,0)),VLOOKUP($A50,'[1]liste reference'!$A$7:$D$906,2,0))</f>
        <v>Rorippa amphibia</v>
      </c>
      <c r="E50" s="215" t="e">
        <f aca="false">IF(D50="",0,VLOOKUP(D50,D$22:D49,1,0))</f>
        <v>#N/A</v>
      </c>
      <c r="F50" s="225" t="n">
        <f aca="false">($B50*$B$7+$C50*$C$7)/100</f>
        <v>0.038</v>
      </c>
      <c r="G50" s="217"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8" t="n">
        <f aca="false">IF(ISNUMBER(H50),IF(ISERROR(VLOOKUP($A50,'[1]liste reference'!$A$7:$P$906,3,0)),IF(ISERROR(VLOOKUP($A50,'[1]liste reference'!$B$7:$P$906,2,0)),"",VLOOKUP($A50,'[1]liste reference'!$B$7:$P$906,2,0)),VLOOKUP($A50,'[1]liste reference'!$A$7:$P$906,3,0)),"")</f>
        <v>9</v>
      </c>
      <c r="J50" s="202" t="n">
        <f aca="false">IF(ISNUMBER(H50),IF(ISERROR(VLOOKUP($A50,'[1]liste reference'!$A$7:$P$906,4,0)),IF(ISERROR(VLOOKUP($A50,'[1]liste reference'!$B$7:$P$906,3,0)),"",VLOOKUP($A50,'[1]liste reference'!$B$7:$P$906,3,0)),VLOOKUP($A50,'[1]liste reference'!$A$7:$P$906,4,0)),"")</f>
        <v>1</v>
      </c>
      <c r="K50" s="219" t="str">
        <f aca="false">IF(A50="NEW.COD",AA50,IF(ISTEXT($E50),"DEJA SAISI !",IF(A50="","",IF(ISERROR(VLOOKUP($A50,'[1]liste reference'!$A$7:$D$906,2,0)),IF(ISERROR(VLOOKUP($A50,'[1]liste reference'!$B$7:$D$906,1,0)),"code non répertorié ou synonyme",VLOOKUP($A50,'[1]liste reference'!$B$7:$D$906,1,0)),VLOOKUP(A50,'[1]liste reference'!$A$7:$D$906,2,0)))))</f>
        <v>Rorippa amphibia</v>
      </c>
      <c r="L50" s="220"/>
      <c r="M50" s="220"/>
      <c r="N50" s="220"/>
      <c r="O50" s="205"/>
      <c r="P50" s="206" t="n">
        <f aca="false">IF(ISTEXT(H50),"",(B50*$B$7/100)+(C50*$C$7/100))</f>
        <v>0.038</v>
      </c>
      <c r="Q50" s="207" t="n">
        <f aca="false">IF(OR(ISTEXT(H50),P50=0),"",IF(P50&lt;0.1,1,IF(P50&lt;1,2,IF(P50&lt;10,3,IF(P50&lt;50,4,IF(P50&gt;=50,5,""))))))</f>
        <v>1</v>
      </c>
      <c r="R50" s="207" t="n">
        <f aca="false">IF(ISERROR(Q50*I50),0,Q50*I50)</f>
        <v>9</v>
      </c>
      <c r="S50" s="207" t="n">
        <f aca="false">IF(ISERROR(Q50*I50*J50),0,Q50*I50*J50)</f>
        <v>9</v>
      </c>
      <c r="T50" s="221" t="n">
        <f aca="false">IF(ISERROR(Q50*J50),0,Q50*J50)</f>
        <v>1</v>
      </c>
      <c r="U50" s="208" t="str">
        <f aca="false">IF(AND(A50="",F50=0),"",IF(F50=0,"Il manque le(s) % de rec. !",""))</f>
        <v/>
      </c>
      <c r="V50" s="209"/>
      <c r="X50" s="207" t="str">
        <f aca="false">IF(A50="new.cod","NEW.COD",IF(AND((Y50=""),ISTEXT(A50)),A50,IF(Y50="","",INDEX('[1]liste reference'!$A$7:$A$906,Y50))))</f>
        <v>ROR.AMP</v>
      </c>
      <c r="Y50" s="8" t="n">
        <f aca="false">IF(ISERROR(MATCH(A50,'[1]liste reference'!$A$7:$A$906,0)),IF(ISERROR(MATCH(A50,'[1]liste reference'!$B$7:$B$906,0)),"",(MATCH(A50,'[1]liste reference'!$B$7:$B$906,0))),(MATCH(A50,'[1]liste reference'!$A$7:$A$906,0)))</f>
        <v>651</v>
      </c>
      <c r="Z50" s="210"/>
      <c r="AA50" s="211"/>
      <c r="BB50" s="8" t="n">
        <f aca="false">IF(A50="","",1)</f>
        <v>1</v>
      </c>
    </row>
    <row r="51" customFormat="false" ht="12.75" hidden="false" customHeight="false" outlineLevel="0" collapsed="false">
      <c r="A51" s="212" t="s">
        <v>101</v>
      </c>
      <c r="B51" s="213"/>
      <c r="C51" s="214" t="n">
        <v>0.04</v>
      </c>
      <c r="D51" s="215" t="str">
        <f aca="false">IF(ISERROR(VLOOKUP($A51,'[1]liste reference'!$A$7:$D$906,2,0)),IF(ISERROR(VLOOKUP($A51,'[1]liste reference'!$B$7:$D$906,1,0)),"",VLOOKUP($A51,'[1]liste reference'!$B$7:$D$906,1,0)),VLOOKUP($A51,'[1]liste reference'!$A$7:$D$906,2,0))</f>
        <v>Scirpus sylvaticus</v>
      </c>
      <c r="E51" s="215" t="e">
        <f aca="false">IF(D51="",0,VLOOKUP(D51,D$22:D50,1,0))</f>
        <v>#N/A</v>
      </c>
      <c r="F51" s="225" t="n">
        <f aca="false">($B51*$B$7+$C51*$C$7)/100</f>
        <v>0.016</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n">
        <f aca="false">IF(ISNUMBER(H51),IF(ISERROR(VLOOKUP($A51,'[1]liste reference'!$A$7:$P$906,3,0)),IF(ISERROR(VLOOKUP($A51,'[1]liste reference'!$B$7:$P$906,2,0)),"",VLOOKUP($A51,'[1]liste reference'!$B$7:$P$906,2,0)),VLOOKUP($A51,'[1]liste reference'!$A$7:$P$906,3,0)),"")</f>
        <v>10</v>
      </c>
      <c r="J51" s="202" t="n">
        <f aca="false">IF(ISNUMBER(H51),IF(ISERROR(VLOOKUP($A51,'[1]liste reference'!$A$7:$P$906,4,0)),IF(ISERROR(VLOOKUP($A51,'[1]liste reference'!$B$7:$P$906,3,0)),"",VLOOKUP($A51,'[1]liste reference'!$B$7:$P$906,3,0)),VLOOKUP($A51,'[1]liste reference'!$A$7:$P$906,4,0)),"")</f>
        <v>2</v>
      </c>
      <c r="K51" s="219" t="str">
        <f aca="false">IF(A51="NEW.COD",AA51,IF(ISTEXT($E51),"DEJA SAISI !",IF(A51="","",IF(ISERROR(VLOOKUP($A51,'[1]liste reference'!$A$7:$D$906,2,0)),IF(ISERROR(VLOOKUP($A51,'[1]liste reference'!$B$7:$D$906,1,0)),"code non répertorié ou synonyme",VLOOKUP($A51,'[1]liste reference'!$B$7:$D$906,1,0)),VLOOKUP(A51,'[1]liste reference'!$A$7:$D$906,2,0)))))</f>
        <v>Scirpus sylvaticus</v>
      </c>
      <c r="L51" s="220"/>
      <c r="M51" s="220"/>
      <c r="N51" s="220"/>
      <c r="O51" s="205"/>
      <c r="P51" s="206" t="n">
        <f aca="false">IF(ISTEXT(H51),"",(B51*$B$7/100)+(C51*$C$7/100))</f>
        <v>0.016</v>
      </c>
      <c r="Q51" s="207" t="n">
        <f aca="false">IF(OR(ISTEXT(H51),P51=0),"",IF(P51&lt;0.1,1,IF(P51&lt;1,2,IF(P51&lt;10,3,IF(P51&lt;50,4,IF(P51&gt;=50,5,""))))))</f>
        <v>1</v>
      </c>
      <c r="R51" s="207" t="n">
        <f aca="false">IF(ISERROR(Q51*I51),0,Q51*I51)</f>
        <v>10</v>
      </c>
      <c r="S51" s="207" t="n">
        <f aca="false">IF(ISERROR(Q51*I51*J51),0,Q51*I51*J51)</f>
        <v>20</v>
      </c>
      <c r="T51" s="221" t="n">
        <f aca="false">IF(ISERROR(Q51*J51),0,Q51*J51)</f>
        <v>2</v>
      </c>
      <c r="U51" s="208" t="str">
        <f aca="false">IF(AND(A51="",F51=0),"",IF(F51=0,"Il manque le(s) % de rec. !",""))</f>
        <v/>
      </c>
      <c r="V51" s="209"/>
      <c r="X51" s="207" t="str">
        <f aca="false">IF(A51="new.cod","NEW.COD",IF(AND((Y51=""),ISTEXT(A51)),A51,IF(Y51="","",INDEX('[1]liste reference'!$A$7:$A$906,Y51))))</f>
        <v>SCI.SYL</v>
      </c>
      <c r="Y51" s="8" t="n">
        <f aca="false">IF(ISERROR(MATCH(A51,'[1]liste reference'!$A$7:$A$906,0)),IF(ISERROR(MATCH(A51,'[1]liste reference'!$B$7:$B$906,0)),"",(MATCH(A51,'[1]liste reference'!$B$7:$B$906,0))),(MATCH(A51,'[1]liste reference'!$A$7:$A$906,0)))</f>
        <v>671</v>
      </c>
      <c r="Z51" s="210"/>
      <c r="AA51" s="211"/>
      <c r="BB51" s="8" t="n">
        <f aca="false">IF(A51="","",1)</f>
        <v>1</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102</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BIEUDRE</v>
      </c>
      <c r="B84" s="245" t="str">
        <f aca="false">C3</f>
        <v>Pouzy-Mésangy</v>
      </c>
      <c r="C84" s="246" t="n">
        <f aca="false">A4</f>
        <v>39335</v>
      </c>
      <c r="D84" s="247" t="n">
        <f aca="false">IF(ISERROR(SUM($S$23:$S$82)/SUM($T$23:$T$82)),"",SUM($S$23:$S$82)/SUM($T$23:$T$82))</f>
        <v>10.3958333333333</v>
      </c>
      <c r="E84" s="248" t="n">
        <f aca="false">N13</f>
        <v>28</v>
      </c>
      <c r="F84" s="245" t="n">
        <f aca="false">N14</f>
        <v>23</v>
      </c>
      <c r="G84" s="245" t="n">
        <f aca="false">N15</f>
        <v>14</v>
      </c>
      <c r="H84" s="245" t="n">
        <f aca="false">N16</f>
        <v>9</v>
      </c>
      <c r="I84" s="245" t="n">
        <f aca="false">N17</f>
        <v>0</v>
      </c>
      <c r="J84" s="249" t="n">
        <f aca="false">N8</f>
        <v>10.3478260869565</v>
      </c>
      <c r="K84" s="247" t="n">
        <f aca="false">N9</f>
        <v>2.74041628642892</v>
      </c>
      <c r="L84" s="248" t="n">
        <f aca="false">N10</f>
        <v>4</v>
      </c>
      <c r="M84" s="248" t="n">
        <f aca="false">N11</f>
        <v>15</v>
      </c>
      <c r="N84" s="247" t="n">
        <f aca="false">O8</f>
        <v>1.39130434782609</v>
      </c>
      <c r="O84" s="247" t="n">
        <f aca="false">O9</f>
        <v>0.499010879347845</v>
      </c>
      <c r="P84" s="248" t="n">
        <f aca="false">O10</f>
        <v>1</v>
      </c>
      <c r="Q84" s="248" t="n">
        <f aca="false">O11</f>
        <v>2</v>
      </c>
      <c r="R84" s="250" t="n">
        <f aca="false">F21</f>
        <v>11.64</v>
      </c>
      <c r="S84" s="248" t="n">
        <f aca="false">K11</f>
        <v>0</v>
      </c>
      <c r="T84" s="248" t="n">
        <f aca="false">K12</f>
        <v>9</v>
      </c>
      <c r="U84" s="248" t="n">
        <f aca="false">K13</f>
        <v>8</v>
      </c>
      <c r="V84" s="251" t="n">
        <f aca="false">K14</f>
        <v>1</v>
      </c>
      <c r="W84" s="252" t="n">
        <f aca="false">K15</f>
        <v>10</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103</v>
      </c>
      <c r="Q86" s="8"/>
      <c r="R86" s="208"/>
      <c r="S86" s="8"/>
      <c r="T86" s="8"/>
      <c r="U86" s="8"/>
    </row>
    <row r="87" customFormat="false" ht="12.75" hidden="true" customHeight="false" outlineLevel="0" collapsed="false">
      <c r="P87" s="8" t="s">
        <v>104</v>
      </c>
      <c r="Q87" s="8"/>
      <c r="R87" s="208" t="n">
        <f aca="false">VLOOKUP(MAX($R$23:$R$82),($R$23:$T$82),1,0)</f>
        <v>45</v>
      </c>
      <c r="S87" s="8"/>
      <c r="T87" s="8"/>
      <c r="U87" s="8"/>
    </row>
    <row r="88" customFormat="false" ht="12.75" hidden="true" customHeight="false" outlineLevel="0" collapsed="false">
      <c r="P88" s="8" t="s">
        <v>105</v>
      </c>
      <c r="Q88" s="8"/>
      <c r="R88" s="208" t="n">
        <f aca="false">VLOOKUP((R87),($R$23:$T$82),2,0)</f>
        <v>90</v>
      </c>
      <c r="S88" s="8"/>
      <c r="T88" s="8"/>
      <c r="U88" s="8"/>
    </row>
    <row r="89" customFormat="false" ht="12.75" hidden="true" customHeight="false" outlineLevel="0" collapsed="false">
      <c r="P89" s="8" t="s">
        <v>106</v>
      </c>
      <c r="Q89" s="8"/>
      <c r="R89" s="208" t="n">
        <f aca="false">VLOOKUP((R87),($R$23:$T$82),3,0)</f>
        <v>6</v>
      </c>
      <c r="S89" s="8"/>
    </row>
    <row r="90" customFormat="false" ht="12.75" hidden="true" customHeight="false" outlineLevel="0" collapsed="false">
      <c r="P90" s="8" t="s">
        <v>107</v>
      </c>
      <c r="Q90" s="8"/>
      <c r="R90" s="254" t="n">
        <f aca="false">IF(ISERROR(SUM($S$23:$S$82)/SUM($T$23:$T$82)),"",(SUM($S$23:$S$82)-R88)/(SUM($T$23:$T$82)-R89))</f>
        <v>9.73809523809524</v>
      </c>
      <c r="S90" s="8"/>
    </row>
    <row r="91" customFormat="false" ht="12.75" hidden="true" customHeight="false" outlineLevel="0" collapsed="false">
      <c r="P91" s="207" t="s">
        <v>108</v>
      </c>
      <c r="Q91" s="207"/>
      <c r="R91" s="207" t="str">
        <f aca="false">INDEX('[1]liste reference'!$A$7:$A$906,$S$91)</f>
        <v>HIL.SPX</v>
      </c>
      <c r="S91" s="8" t="n">
        <f aca="false">IF(ISERROR(MATCH($R$93,'[1]liste reference'!$A$7:$A$906,0)),MATCH($R$93,'[1]liste reference'!$B$7:$B$906,0),(MATCH($R$93,'[1]liste reference'!$A$7:$A$906,0)))</f>
        <v>31</v>
      </c>
      <c r="T91" s="243"/>
    </row>
    <row r="92" customFormat="false" ht="12.75" hidden="true" customHeight="false" outlineLevel="0" collapsed="false">
      <c r="P92" s="8" t="s">
        <v>109</v>
      </c>
      <c r="Q92" s="8"/>
      <c r="R92" s="8" t="n">
        <f aca="false">MATCH(R87,$R$23:$R$82,0)</f>
        <v>9</v>
      </c>
      <c r="S92" s="8"/>
    </row>
    <row r="93" customFormat="false" ht="12.75" hidden="true" customHeight="false" outlineLevel="0" collapsed="false">
      <c r="P93" s="207" t="s">
        <v>110</v>
      </c>
      <c r="Q93" s="8"/>
      <c r="R93" s="207" t="str">
        <f aca="false">INDEX($A$23:$A$82,$R$92)</f>
        <v>HIL.SPX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