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HER" sheetId="1" state="visible" r:id="rId3"/>
  </sheets>
  <externalReferences>
    <externalReference r:id="rId4"/>
  </externalReferences>
  <definedNames>
    <definedName function="false" hidden="false" localSheetId="0" name="_xlnm.Print_Area" vbProcedure="false">CHER!$A$1:$O$79</definedName>
    <definedName function="false" hidden="false" name="NOM" vbProcedure="false">CHER!$H$1</definedName>
    <definedName function="false" hidden="false" localSheetId="0" name="Excel_BuiltIn__FilterDatabase" vbProcedure="false">CHER!$A$23:$J$81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12</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16</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3</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<sst xmlns="http://schemas.openxmlformats.org/spreadsheetml/2006/main" count="102" uniqueCount="98">
  <si>
    <t xml:space="preserve">Relevés floristiques aquatiques - IBMR</t>
  </si>
  <si>
    <t xml:space="preserve">GIS Macrophytes - juillet 2006</t>
  </si>
  <si>
    <t xml:space="preserve">ELEA</t>
  </si>
  <si>
    <t xml:space="preserve">A. Mignon et M.L. Wasier</t>
  </si>
  <si>
    <t xml:space="preserve">conforme AFNOR T90-395 oct. 2003</t>
  </si>
  <si>
    <t xml:space="preserve">CHER</t>
  </si>
  <si>
    <t xml:space="preserve">Chambonchard</t>
  </si>
  <si>
    <t xml:space="preserve">04057000</t>
  </si>
  <si>
    <t xml:space="preserve">RCS Auvergne 08</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</si>
  <si>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</si>
  <si>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</si>
  <si>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</si>
  <si>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</si>
  <si>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</si>
  <si>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</si>
  <si>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</si>
  <si>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</si>
  <si>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pl. courant</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</si>
  <si>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</si>
  <si>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</si>
  <si>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</si>
  <si>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</si>
  <si>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</si>
  <si>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</si>
  <si>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</si>
  <si>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</si>
  <si>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</si>
  <si>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</si>
  <si>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</si>
  <si>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</si>
  <si>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</si>
  <si>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</si>
  <si>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</si>
  <si>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</si>
  <si>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</si>
  <si>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</si>
  <si>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</si>
  <si>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</si>
  <si>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</si>
  <si>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</si>
  <si>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</si>
  <si>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</si>
  <si>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</si>
  <si>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</si>
  <si>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</si>
  <si>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</si>
  <si>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</si>
  <si>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</si>
  <si>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</si>
  <si>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</si>
  <si>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</si>
  <si>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</si>
  <si>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</si>
  <si>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</si>
  <si>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</si>
  <si>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</si>
  <si>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</si>
  <si>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</si>
  <si>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</si>
  <si>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</si>
  <si>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</si>
  <si>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</si>
  <si>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</si>
  <si>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</si>
  <si>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</si>
  <si>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</si>
  <si>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</si>
  <si>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</si>
  <si>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</si>
  <si>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</si>
  <si>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</si>
  <si>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</si>
  <si>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</si>
  <si>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</si>
  <si>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</si>
  <si>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</si>
  <si>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HIL.SPX</t>
  </si>
  <si>
    <t xml:space="preserve">PHO.SPX</t>
  </si>
  <si>
    <t xml:space="preserve">SCY.SPX</t>
  </si>
  <si>
    <t xml:space="preserve">DER.WEB</t>
  </si>
  <si>
    <t xml:space="preserve">AMB.FLU</t>
  </si>
  <si>
    <t xml:space="preserve">CIN.RIP</t>
  </si>
  <si>
    <t xml:space="preserve">FON.ANT</t>
  </si>
  <si>
    <t xml:space="preserve">POR.PIN</t>
  </si>
  <si>
    <t xml:space="preserve">RHY.RIP</t>
  </si>
  <si>
    <t xml:space="preserve">IRI.PSE</t>
  </si>
  <si>
    <t xml:space="preserve">LYS.VUL</t>
  </si>
  <si>
    <t xml:space="preserve">PHA.ARU</t>
  </si>
  <si>
    <t xml:space="preserve">RAN.PEL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</si>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</sst>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39645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12.35</v>
      </c>
      <c r="M5" s="51"/>
      <c r="N5" s="52" t="s">
        <v>15</v>
      </c>
      <c r="O5" s="53" t="n">
        <v>11.8823529411765</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AVERAGE(I23:I79)</f>
        <v>12</v>
      </c>
      <c r="O8" s="82" t="n">
        <f aca="false">AVERAGE(J23:J79)</f>
        <v>1.71428571428571</v>
      </c>
      <c r="P8" s="8"/>
      <c r="Q8" s="8"/>
      <c r="R8" s="8"/>
      <c r="S8" s="8"/>
      <c r="T8" s="8"/>
      <c r="U8" s="8"/>
      <c r="V8" s="20"/>
      <c r="W8" s="21"/>
    </row>
    <row r="9" customFormat="false" ht="12.8" hidden="false" customHeight="false" outlineLevel="0" collapsed="false">
      <c r="A9" s="83" t="s">
        <v>28</v>
      </c>
      <c r="B9" s="84" t="n">
        <v>10</v>
      </c>
      <c r="C9" s="85" t="n">
        <v>8.5</v>
      </c>
      <c r="D9" s="86"/>
      <c r="E9" s="86"/>
      <c r="F9" s="87" t="n">
        <f aca="false">($B9*$B$7+$C9*$C$7)/100</f>
        <v>9.4</v>
      </c>
      <c r="G9" s="88"/>
      <c r="H9" s="89"/>
      <c r="I9" s="90"/>
      <c r="J9" s="91"/>
      <c r="K9" s="71"/>
      <c r="L9" s="92"/>
      <c r="M9" s="80" t="s">
        <v>29</v>
      </c>
      <c r="N9" s="81" t="n">
        <f aca="false">STDEV(I23:I79)</f>
        <v>2.57203899958469</v>
      </c>
      <c r="O9" s="82" t="n">
        <f aca="false">STDEV(J23:J79)</f>
        <v>0.611249845502127</v>
      </c>
      <c r="P9" s="8"/>
      <c r="Q9" s="8"/>
      <c r="R9" s="8"/>
      <c r="S9" s="8"/>
      <c r="T9" s="8"/>
      <c r="U9" s="8"/>
      <c r="V9" s="93"/>
      <c r="W9" s="94"/>
    </row>
    <row r="10" customFormat="false" ht="12.8"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MIN(I23:I79)</f>
        <v>6</v>
      </c>
      <c r="O10" s="105" t="n">
        <f aca="false">MIN(J23:J79)</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COUNTIF($G$23:$G$79,"=HET")</f>
        <v>0</v>
      </c>
      <c r="L11" s="114"/>
      <c r="M11" s="103" t="s">
        <v>35</v>
      </c>
      <c r="N11" s="104" t="n">
        <f aca="false">MAX(I23:I79)</f>
        <v>16</v>
      </c>
      <c r="O11" s="105" t="n">
        <f aca="false">MAX(J23:J79)</f>
        <v>3</v>
      </c>
      <c r="P11" s="8"/>
      <c r="Q11" s="8"/>
      <c r="R11" s="8"/>
      <c r="S11" s="8"/>
      <c r="T11" s="8"/>
      <c r="U11" s="8"/>
    </row>
    <row r="12" customFormat="false" ht="12.8" hidden="false" customHeight="false" outlineLevel="0" collapsed="false">
      <c r="A12" s="115" t="s">
        <v>36</v>
      </c>
      <c r="B12" s="116" t="n">
        <v>7.15</v>
      </c>
      <c r="C12" s="117" t="n">
        <v>6.79</v>
      </c>
      <c r="D12" s="109"/>
      <c r="E12" s="109"/>
      <c r="F12" s="110" t="n">
        <f aca="false">($B12*$B$7+$C12*$C$7)/100</f>
        <v>7.006</v>
      </c>
      <c r="G12" s="118"/>
      <c r="H12" s="66"/>
      <c r="I12" s="119" t="s">
        <v>37</v>
      </c>
      <c r="J12" s="119"/>
      <c r="K12" s="113" t="n">
        <f aca="false">COUNTIF($G$23:$G$79,"=ALG")</f>
        <v>6</v>
      </c>
      <c r="L12" s="120"/>
      <c r="M12" s="121"/>
      <c r="N12" s="122" t="s">
        <v>31</v>
      </c>
      <c r="O12" s="123"/>
      <c r="P12" s="8"/>
      <c r="Q12" s="8"/>
      <c r="R12" s="8"/>
      <c r="S12" s="8"/>
      <c r="T12" s="8"/>
      <c r="U12" s="8"/>
    </row>
    <row r="13" customFormat="false" ht="12.8" hidden="false" customHeight="false" outlineLevel="0" collapsed="false">
      <c r="A13" s="115" t="s">
        <v>38</v>
      </c>
      <c r="B13" s="116" t="n">
        <v>1.6</v>
      </c>
      <c r="C13" s="117" t="n">
        <v>1.05</v>
      </c>
      <c r="D13" s="109"/>
      <c r="E13" s="109"/>
      <c r="F13" s="110" t="n">
        <f aca="false">($B13*$B$7+$C13*$C$7)/100</f>
        <v>1.38</v>
      </c>
      <c r="G13" s="118"/>
      <c r="H13" s="66"/>
      <c r="I13" s="119" t="s">
        <v>39</v>
      </c>
      <c r="J13" s="119"/>
      <c r="K13" s="113" t="n">
        <f aca="false">COUNTIF($G$23:$G$79,"=BRm")+COUNTIF($G$23:$G$79,"=BRh")</f>
        <v>5</v>
      </c>
      <c r="L13" s="114"/>
      <c r="M13" s="124" t="s">
        <v>40</v>
      </c>
      <c r="N13" s="125" t="n">
        <f aca="false">COUNTIF(F23:F79,"&gt;0")</f>
        <v>16</v>
      </c>
      <c r="O13" s="126"/>
      <c r="P13" s="8"/>
      <c r="Q13" s="8"/>
      <c r="R13" s="8"/>
      <c r="S13" s="8"/>
      <c r="T13" s="8"/>
      <c r="U13" s="8"/>
    </row>
    <row r="14" customFormat="false" ht="12.8" hidden="false" customHeight="false" outlineLevel="0" collapsed="false">
      <c r="A14" s="115" t="s">
        <v>41</v>
      </c>
      <c r="B14" s="116"/>
      <c r="C14" s="117" t="n">
        <v>0.02</v>
      </c>
      <c r="D14" s="109"/>
      <c r="E14" s="109"/>
      <c r="F14" s="110" t="n">
        <f aca="false">($B14*$B$7+$C14*$C$7)/100</f>
        <v>0.008</v>
      </c>
      <c r="G14" s="118"/>
      <c r="H14" s="66"/>
      <c r="I14" s="119" t="s">
        <v>42</v>
      </c>
      <c r="J14" s="119"/>
      <c r="K14" s="113" t="n">
        <f aca="false">COUNTIF($G$23:$G$79,"=PTE")</f>
        <v>0</v>
      </c>
      <c r="L14" s="114"/>
      <c r="M14" s="127" t="s">
        <v>43</v>
      </c>
      <c r="N14" s="128" t="n">
        <f aca="false">COUNTIF($I$23:$I$79,"&gt;-1")</f>
        <v>14</v>
      </c>
      <c r="O14" s="129"/>
      <c r="P14" s="8"/>
      <c r="Q14" s="8"/>
      <c r="R14" s="8"/>
      <c r="S14" s="8"/>
      <c r="T14" s="8"/>
      <c r="U14" s="8"/>
    </row>
    <row r="15" customFormat="false" ht="12.8" hidden="false" customHeight="false" outlineLevel="0" collapsed="false">
      <c r="A15" s="130" t="s">
        <v>44</v>
      </c>
      <c r="B15" s="131" t="n">
        <v>1.5</v>
      </c>
      <c r="C15" s="132" t="n">
        <v>0.75</v>
      </c>
      <c r="D15" s="109"/>
      <c r="E15" s="109"/>
      <c r="F15" s="110" t="n">
        <f aca="false">($B15*$B$7+$C15*$C$7)/100</f>
        <v>1.2</v>
      </c>
      <c r="G15" s="118"/>
      <c r="H15" s="66"/>
      <c r="I15" s="119" t="s">
        <v>45</v>
      </c>
      <c r="J15" s="119"/>
      <c r="K15" s="113" t="n">
        <f aca="false">(COUNTIF($G$23:$G$79,"=PHy"))+(COUNTIF($G$23:$G$79,"=PHe"))+(COUNTIF($G$23:$G$79,"=PHg"))+(COUNTIF($G$23:$G$79,"=PHx"))</f>
        <v>4</v>
      </c>
      <c r="L15" s="114"/>
      <c r="M15" s="133" t="s">
        <v>46</v>
      </c>
      <c r="N15" s="134" t="n">
        <f aca="false">COUNTIF(J23:J79,"=1")</f>
        <v>5</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COUNTIF(J23:J79,"=2")</f>
        <v>8</v>
      </c>
      <c r="O16" s="135"/>
      <c r="P16" s="8"/>
      <c r="Q16" s="8"/>
      <c r="R16" s="8"/>
      <c r="S16" s="8"/>
      <c r="T16" s="8"/>
      <c r="U16" s="8"/>
    </row>
    <row r="17" customFormat="false" ht="12.8" hidden="false" customHeight="false" outlineLevel="0" collapsed="false">
      <c r="A17" s="115" t="s">
        <v>49</v>
      </c>
      <c r="B17" s="116" t="n">
        <v>10.25</v>
      </c>
      <c r="C17" s="117" t="n">
        <v>8.36</v>
      </c>
      <c r="D17" s="109"/>
      <c r="E17" s="109"/>
      <c r="F17" s="139"/>
      <c r="G17" s="110" t="n">
        <f aca="false">($B17*$B$7+$C17*$C$7)/100</f>
        <v>9.494</v>
      </c>
      <c r="H17" s="66"/>
      <c r="I17" s="119"/>
      <c r="J17" s="119"/>
      <c r="K17" s="138"/>
      <c r="L17" s="114"/>
      <c r="M17" s="133" t="s">
        <v>50</v>
      </c>
      <c r="N17" s="134" t="n">
        <f aca="false">COUNTIF(J23:J79,"=3")</f>
        <v>1</v>
      </c>
      <c r="O17" s="135"/>
      <c r="P17" s="8"/>
      <c r="Q17" s="8"/>
      <c r="R17" s="8"/>
      <c r="S17" s="8"/>
      <c r="T17" s="8"/>
      <c r="U17" s="8"/>
    </row>
    <row r="18" customFormat="false" ht="12.8" hidden="false" customHeight="false" outlineLevel="0" collapsed="false">
      <c r="A18" s="140" t="s">
        <v>51</v>
      </c>
      <c r="B18" s="141"/>
      <c r="C18" s="142" t="n">
        <v>0.25</v>
      </c>
      <c r="D18" s="109"/>
      <c r="E18" s="143" t="s">
        <v>52</v>
      </c>
      <c r="F18" s="139"/>
      <c r="G18" s="110" t="n">
        <f aca="false">($B18*$B$7+$C18*$C$7)/100</f>
        <v>0.1</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9.594</v>
      </c>
      <c r="G19" s="151" t="n">
        <f aca="false">SUM(G16:G18)</f>
        <v>9.594</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SUM(B23:B79)</f>
        <v>10.25</v>
      </c>
      <c r="C20" s="160" t="n">
        <f aca="false">SUM(C23:C79)</f>
        <v>8.61</v>
      </c>
      <c r="D20" s="161"/>
      <c r="E20" s="162" t="s">
        <v>52</v>
      </c>
      <c r="F20" s="163" t="n">
        <f aca="false">($B20*$B$7+$C20*$C$7)/100</f>
        <v>9.594</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6.15</v>
      </c>
      <c r="C21" s="172" t="n">
        <f aca="false">C20*C7/100</f>
        <v>3.444</v>
      </c>
      <c r="D21" s="109" t="str">
        <f aca="false">IF(F21=0,"",IF((ABS(F21-F19))&gt;(0.2*F21),CONCATENATE(" rec. par taxa (",F21," %) supérieur à 20 % !"),""))</f>
        <v/>
      </c>
      <c r="E21" s="173" t="str">
        <f aca="false">IF(F21=0,"",IF((ABS(F21-F19))&gt;(0.2*F21),CONCATENATE("ATTENTION : écart entre rec. par grp (",F19," %) ","et",""),""))</f>
        <v/>
      </c>
      <c r="F21" s="174" t="n">
        <f aca="false">B21+C21</f>
        <v>9.594</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0.5</v>
      </c>
      <c r="C23" s="196" t="n">
        <v>0.2</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0.38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0.38</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212" t="s">
        <v>75</v>
      </c>
      <c r="B24" s="213" t="n">
        <v>5</v>
      </c>
      <c r="C24" s="214" t="n">
        <v>6</v>
      </c>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5.4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5.4</v>
      </c>
      <c r="Q24" s="207" t="n">
        <f aca="false">IF(OR(ISTEXT(H24),P24=0),"",IF(P24&lt;0.1,1,IF(P24&lt;1,2,IF(P24&lt;10,3,IF(P24&lt;50,4,IF(P24&gt;=50,5,""))))))</f>
        <v>3</v>
      </c>
      <c r="R24" s="207" t="n">
        <f aca="false">IF(ISERROR(Q24*I24),0,Q24*I24)</f>
        <v>18</v>
      </c>
      <c r="S24" s="207" t="n">
        <f aca="false">IF(ISERROR(Q24*I24*J24),0,Q24*I24*J24)</f>
        <v>18</v>
      </c>
      <c r="T24" s="221" t="n">
        <f aca="false">IF(ISERROR(Q24*J24),0,Q24*J24)</f>
        <v>3</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8" hidden="false" customHeight="false" outlineLevel="0" collapsed="false">
      <c r="A25" s="212" t="s">
        <v>76</v>
      </c>
      <c r="B25" s="213" t="n">
        <v>0.1</v>
      </c>
      <c r="C25" s="214" t="n">
        <v>0.05</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0.08</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0.08</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8" hidden="false" customHeight="false" outlineLevel="0" collapsed="false">
      <c r="A26" s="212" t="s">
        <v>15</v>
      </c>
      <c r="B26" s="213" t="n">
        <v>1.5</v>
      </c>
      <c r="C26" s="214" t="n">
        <v>0.5</v>
      </c>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1.1</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1.1</v>
      </c>
      <c r="Q26" s="207" t="n">
        <f aca="false">IF(OR(ISTEXT(H26),P26=0),"",IF(P26&lt;0.1,1,IF(P26&lt;1,2,IF(P26&lt;10,3,IF(P26&lt;50,4,IF(P26&gt;=50,5,""))))))</f>
        <v>3</v>
      </c>
      <c r="R26" s="207" t="n">
        <f aca="false">IF(ISERROR(Q26*I26),0,Q26*I26)</f>
        <v>45</v>
      </c>
      <c r="S26" s="207" t="n">
        <f aca="false">IF(ISERROR(Q26*I26*J26),0,Q26*I26*J26)</f>
        <v>90</v>
      </c>
      <c r="T26" s="221"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8" hidden="false" customHeight="false" outlineLevel="0" collapsed="false">
      <c r="A27" s="212" t="s">
        <v>77</v>
      </c>
      <c r="B27" s="213" t="n">
        <v>0.05</v>
      </c>
      <c r="C27" s="214" t="n">
        <v>0.02</v>
      </c>
      <c r="D27" s="215" t="str">
        <f aca="false">IF(ISERROR(VLOOKUP($A27,'[1]liste reference'!$A$7:$D$906,2,0)),IF(ISERROR(VLOOKUP($A27,'[1]liste reference'!$B$7:$D$906,1,0)),"",VLOOKUP($A27,'[1]liste reference'!$B$7:$D$906,1,0)),VLOOKUP($A27,'[1]liste reference'!$A$7:$D$906,2,0))</f>
        <v>Phormidium sp.</v>
      </c>
      <c r="E27" s="215" t="e">
        <f aca="false">IF(D27="",0,VLOOKUP(D27,D$22:D26,1,0))</f>
        <v>#N/A</v>
      </c>
      <c r="F27" s="216" t="n">
        <f aca="false">($B27*$B$7+$C27*$C$7)/100</f>
        <v>0.038</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Phormidium sp.</v>
      </c>
      <c r="L27" s="220"/>
      <c r="M27" s="220"/>
      <c r="N27" s="220"/>
      <c r="O27" s="205"/>
      <c r="P27" s="206" t="n">
        <f aca="false">IF(ISTEXT(H27),"",(B27*$B$7/100)+(C27*$C$7/100))</f>
        <v>0.038</v>
      </c>
      <c r="Q27" s="207" t="n">
        <f aca="false">IF(OR(ISTEXT(H27),P27=0),"",IF(P27&lt;0.1,1,IF(P27&lt;1,2,IF(P27&lt;10,3,IF(P27&lt;50,4,IF(P27&gt;=50,5,""))))))</f>
        <v>1</v>
      </c>
      <c r="R27" s="207" t="n">
        <f aca="false">IF(ISERROR(Q27*I27),0,Q27*I27)</f>
        <v>13</v>
      </c>
      <c r="S27" s="207" t="n">
        <f aca="false">IF(ISERROR(Q27*I27*J27),0,Q27*I27*J27)</f>
        <v>26</v>
      </c>
      <c r="T27" s="221" t="n">
        <f aca="false">IF(ISERROR(Q27*J27),0,Q27*J27)</f>
        <v>2</v>
      </c>
      <c r="U27" s="208" t="str">
        <f aca="false">IF(AND(A27="",F27=0),"",IF(F27=0,"Il manque le(s) % de rec. !",""))</f>
        <v/>
      </c>
      <c r="V27" s="209"/>
      <c r="X27" s="207" t="str">
        <f aca="false">IF(A27="new.cod","NEW.COD",IF(AND((Y27=""),ISTEXT(A27)),A27,IF(Y27="","",INDEX('[1]liste reference'!$A$7:$A$906,Y27))))</f>
        <v>PHO.SPX</v>
      </c>
      <c r="Y27" s="8" t="n">
        <f aca="false">IF(ISERROR(MATCH(A27,'[1]liste reference'!$A$7:$A$906,0)),IF(ISERROR(MATCH(A27,'[1]liste reference'!$B$7:$B$906,0)),"",(MATCH(A27,'[1]liste reference'!$B$7:$B$906,0))),(MATCH(A27,'[1]liste reference'!$A$7:$A$906,0)))</f>
        <v>58</v>
      </c>
      <c r="Z27" s="210"/>
      <c r="AA27" s="211"/>
      <c r="BB27" s="8" t="n">
        <f aca="false">IF(A27="","",1)</f>
        <v>1</v>
      </c>
    </row>
    <row r="28" customFormat="false" ht="12.8" hidden="false" customHeight="false" outlineLevel="0" collapsed="false">
      <c r="A28" s="212" t="s">
        <v>78</v>
      </c>
      <c r="B28" s="213"/>
      <c r="C28" s="214" t="n">
        <v>0.02</v>
      </c>
      <c r="D28" s="215" t="str">
        <f aca="false">IF(ISERROR(VLOOKUP($A28,'[1]liste reference'!$A$7:$D$906,2,0)),IF(ISERROR(VLOOKUP($A28,'[1]liste reference'!$B$7:$D$906,1,0)),"",VLOOKUP($A28,'[1]liste reference'!$B$7:$D$906,1,0)),VLOOKUP($A28,'[1]liste reference'!$A$7:$D$906,2,0))</f>
        <v>Scytonema sp.</v>
      </c>
      <c r="E28" s="215" t="e">
        <f aca="false">IF(D28="",0,VLOOKUP(D28,D$22:D27,1,0))</f>
        <v>#N/A</v>
      </c>
      <c r="F28" s="216" t="n">
        <f aca="false">($B28*$B$7+$C28*$C$7)/100</f>
        <v>0.008</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Scytonema sp.</v>
      </c>
      <c r="L28" s="220"/>
      <c r="M28" s="220"/>
      <c r="N28" s="220"/>
      <c r="O28" s="205"/>
      <c r="P28" s="206" t="n">
        <f aca="false">IF(ISTEXT(H28),"",(B28*$B$7/100)+(C28*$C$7/100))</f>
        <v>0.008</v>
      </c>
      <c r="Q28" s="207" t="n">
        <f aca="false">IF(OR(ISTEXT(H28),P28=0),"",IF(P28&lt;0.1,1,IF(P28&lt;1,2,IF(P28&lt;10,3,IF(P28&lt;50,4,IF(P28&gt;=50,5,""))))))</f>
        <v>1</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SCY.SPX</v>
      </c>
      <c r="Y28" s="8" t="n">
        <f aca="false">IF(ISERROR(MATCH(A28,'[1]liste reference'!$A$7:$A$906,0)),IF(ISERROR(MATCH(A28,'[1]liste reference'!$B$7:$B$906,0)),"",(MATCH(A28,'[1]liste reference'!$B$7:$B$906,0))),(MATCH(A28,'[1]liste reference'!$A$7:$A$906,0)))</f>
        <v>67</v>
      </c>
      <c r="Z28" s="210"/>
      <c r="AA28" s="211"/>
      <c r="BB28" s="8" t="n">
        <f aca="false">IF(A28="","",1)</f>
        <v>1</v>
      </c>
    </row>
    <row r="29" customFormat="false" ht="12.8" hidden="false" customHeight="false" outlineLevel="0" collapsed="false">
      <c r="A29" s="212" t="s">
        <v>79</v>
      </c>
      <c r="B29" s="213"/>
      <c r="C29" s="214" t="n">
        <v>0.02</v>
      </c>
      <c r="D29" s="215" t="str">
        <f aca="false">IF(ISERROR(VLOOKUP($A29,'[1]liste reference'!$A$7:$D$906,2,0)),IF(ISERROR(VLOOKUP($A29,'[1]liste reference'!$B$7:$D$906,1,0)),"",VLOOKUP($A29,'[1]liste reference'!$B$7:$D$906,1,0)),VLOOKUP($A29,'[1]liste reference'!$A$7:$D$906,2,0))</f>
        <v>Dermatocarpon weberi</v>
      </c>
      <c r="E29" s="215" t="e">
        <f aca="false">IF(D29="",0,VLOOKUP(D29,D$22:D28,1,0))</f>
        <v>#N/A</v>
      </c>
      <c r="F29" s="216" t="n">
        <f aca="false">($B29*$B$7+$C29*$C$7)/100</f>
        <v>0.008</v>
      </c>
      <c r="G29" s="217" t="str">
        <f aca="false">IF(A29="","",IF(ISERROR(VLOOKUP($A29,'[1]liste reference'!$A$7:$P$906,13,0)),IF(ISERROR(VLOOKUP($A29,'[1]liste reference'!$B$7:$P$906,12,0)),"    -",VLOOKUP($A29,'[1]liste reference'!$B$7:$P$906,12,0)),VLOOKUP($A29,'[1]liste reference'!$A$7:$P$906,13,0)))</f>
        <v>LIC</v>
      </c>
      <c r="H29" s="200" t="n">
        <f aca="false">IF(A29="","x",IF(ISERROR(VLOOKUP($A29,'[1]liste reference'!$A$7:$P$906,14,0)),IF(ISERROR(VLOOKUP($A29,'[1]liste reference'!$B$7:$P$906,13,0)),"x",VLOOKUP($A29,'[1]liste reference'!$B$7:$P$906,13,0)),VLOOKUP($A29,'[1]liste reference'!$A$7:$P$906,14,0)))</f>
        <v>3</v>
      </c>
      <c r="I29" s="218" t="n">
        <f aca="false">IF(ISNUMBER(H29),IF(ISERROR(VLOOKUP($A29,'[1]liste reference'!$A$7:$P$906,3,0)),IF(ISERROR(VLOOKUP($A29,'[1]liste reference'!$B$7:$P$906,2,0)),"",VLOOKUP($A29,'[1]liste reference'!$B$7:$P$906,2,0)),VLOOKUP($A29,'[1]liste reference'!$A$7:$P$906,3,0)),"")</f>
        <v>16</v>
      </c>
      <c r="J29" s="202" t="n">
        <f aca="false">IF(ISNUMBER(H29),IF(ISERROR(VLOOKUP($A29,'[1]liste reference'!$A$7:$P$906,4,0)),IF(ISERROR(VLOOKUP($A29,'[1]liste reference'!$B$7:$P$906,3,0)),"",VLOOKUP($A29,'[1]liste reference'!$B$7:$P$906,3,0)),VLOOKUP($A29,'[1]liste reference'!$A$7:$P$906,4,0)),"")</f>
        <v>3</v>
      </c>
      <c r="K29" s="219" t="str">
        <f aca="false">IF(A29="NEW.COD",AA29,IF(ISTEXT($E29),"DEJA SAISI !",IF(A29="","",IF(ISERROR(VLOOKUP($A29,'[1]liste reference'!$A$7:$D$906,2,0)),IF(ISERROR(VLOOKUP($A29,'[1]liste reference'!$B$7:$D$906,1,0)),"code non répertorié ou synonyme",VLOOKUP($A29,'[1]liste reference'!$B$7:$D$906,1,0)),VLOOKUP(A29,'[1]liste reference'!$A$7:$D$906,2,0)))))</f>
        <v>Dermatocarpon weberi</v>
      </c>
      <c r="L29" s="220"/>
      <c r="M29" s="220"/>
      <c r="N29" s="220"/>
      <c r="O29" s="205"/>
      <c r="P29" s="206" t="n">
        <f aca="false">IF(ISTEXT(H29),"",(B29*$B$7/100)+(C29*$C$7/100))</f>
        <v>0.008</v>
      </c>
      <c r="Q29" s="207" t="n">
        <f aca="false">IF(OR(ISTEXT(H29),P29=0),"",IF(P29&lt;0.1,1,IF(P29&lt;1,2,IF(P29&lt;10,3,IF(P29&lt;50,4,IF(P29&gt;=50,5,""))))))</f>
        <v>1</v>
      </c>
      <c r="R29" s="207" t="n">
        <f aca="false">IF(ISERROR(Q29*I29),0,Q29*I29)</f>
        <v>16</v>
      </c>
      <c r="S29" s="207" t="n">
        <f aca="false">IF(ISERROR(Q29*I29*J29),0,Q29*I29*J29)</f>
        <v>48</v>
      </c>
      <c r="T29" s="221" t="n">
        <f aca="false">IF(ISERROR(Q29*J29),0,Q29*J29)</f>
        <v>3</v>
      </c>
      <c r="U29" s="208" t="str">
        <f aca="false">IF(AND(A29="",F29=0),"",IF(F29=0,"Il manque le(s) % de rec. !",""))</f>
        <v/>
      </c>
      <c r="V29" s="209"/>
      <c r="X29" s="207" t="str">
        <f aca="false">IF(A29="new.cod","NEW.COD",IF(AND((Y29=""),ISTEXT(A29)),A29,IF(Y29="","",INDEX('[1]liste reference'!$A$7:$A$906,Y29))))</f>
        <v>DER.WEB</v>
      </c>
      <c r="Y29" s="8" t="n">
        <f aca="false">IF(ISERROR(MATCH(A29,'[1]liste reference'!$A$7:$A$906,0)),IF(ISERROR(MATCH(A29,'[1]liste reference'!$B$7:$B$906,0)),"",(MATCH(A29,'[1]liste reference'!$B$7:$B$906,0))),(MATCH(A29,'[1]liste reference'!$A$7:$A$906,0)))</f>
        <v>89</v>
      </c>
      <c r="Z29" s="210"/>
      <c r="AA29" s="211"/>
      <c r="BB29" s="8" t="n">
        <f aca="false">IF(A29="","",1)</f>
        <v>1</v>
      </c>
    </row>
    <row r="30" customFormat="false" ht="12.8" hidden="false" customHeight="false" outlineLevel="0" collapsed="false">
      <c r="A30" s="212" t="s">
        <v>80</v>
      </c>
      <c r="B30" s="213" t="n">
        <v>0.2</v>
      </c>
      <c r="C30" s="214" t="n">
        <v>0.3</v>
      </c>
      <c r="D30" s="215" t="str">
        <f aca="false">IF(ISERROR(VLOOKUP($A30,'[1]liste reference'!$A$7:$D$906,2,0)),IF(ISERROR(VLOOKUP($A30,'[1]liste reference'!$B$7:$D$906,1,0)),"",VLOOKUP($A30,'[1]liste reference'!$B$7:$D$906,1,0)),VLOOKUP($A30,'[1]liste reference'!$A$7:$D$906,2,0))</f>
        <v>Amblystegium fluviatile (Hygroamblystegium fluviatile)</v>
      </c>
      <c r="E30" s="215" t="e">
        <f aca="false">IF(D30="",0,VLOOKUP(D30,D$22:D29,1,0))</f>
        <v>#N/A</v>
      </c>
      <c r="F30" s="216" t="n">
        <f aca="false">($B30*$B$7+$C30*$C$7)/100</f>
        <v>0.24</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fluviatile (Hygroamblystegium fluviatile)</v>
      </c>
      <c r="L30" s="220"/>
      <c r="M30" s="220"/>
      <c r="N30" s="220"/>
      <c r="O30" s="205"/>
      <c r="P30" s="206" t="n">
        <f aca="false">IF(ISTEXT(H30),"",(B30*$B$7/100)+(C30*$C$7/100))</f>
        <v>0.24</v>
      </c>
      <c r="Q30" s="207" t="n">
        <f aca="false">IF(OR(ISTEXT(H30),P30=0),"",IF(P30&lt;0.1,1,IF(P30&lt;1,2,IF(P30&lt;10,3,IF(P30&lt;50,4,IF(P30&gt;=50,5,""))))))</f>
        <v>2</v>
      </c>
      <c r="R30" s="207" t="n">
        <f aca="false">IF(ISERROR(Q30*I30),0,Q30*I30)</f>
        <v>22</v>
      </c>
      <c r="S30" s="207" t="n">
        <f aca="false">IF(ISERROR(Q30*I30*J30),0,Q30*I30*J30)</f>
        <v>44</v>
      </c>
      <c r="T30" s="221" t="n">
        <f aca="false">IF(ISERROR(Q30*J30),0,Q30*J30)</f>
        <v>4</v>
      </c>
      <c r="U30" s="208" t="str">
        <f aca="false">IF(AND(A30="",F30=0),"",IF(F30=0,"Il manque le(s) % de rec. !",""))</f>
        <v/>
      </c>
      <c r="V30" s="209"/>
      <c r="X30" s="207" t="str">
        <f aca="false">IF(A30="new.cod","NEW.COD",IF(AND((Y30=""),ISTEXT(A30)),A30,IF(Y30="","",INDEX('[1]liste reference'!$A$7:$A$906,Y30))))</f>
        <v>AMB.FLU</v>
      </c>
      <c r="Y30" s="8" t="n">
        <f aca="false">IF(ISERROR(MATCH(A30,'[1]liste reference'!$A$7:$A$906,0)),IF(ISERROR(MATCH(A30,'[1]liste reference'!$B$7:$B$906,0)),"",(MATCH(A30,'[1]liste reference'!$B$7:$B$906,0))),(MATCH(A30,'[1]liste reference'!$A$7:$A$906,0)))</f>
        <v>148</v>
      </c>
      <c r="Z30" s="210"/>
      <c r="AA30" s="211"/>
      <c r="BB30" s="8" t="n">
        <f aca="false">IF(A30="","",1)</f>
        <v>1</v>
      </c>
    </row>
    <row r="31" customFormat="false" ht="12.8" hidden="false" customHeight="false" outlineLevel="0" collapsed="false">
      <c r="A31" s="212" t="s">
        <v>81</v>
      </c>
      <c r="B31" s="213"/>
      <c r="C31" s="214" t="n">
        <v>0.02</v>
      </c>
      <c r="D31" s="215" t="str">
        <f aca="false">IF(ISERROR(VLOOKUP($A31,'[1]liste reference'!$A$7:$D$906,2,0)),IF(ISERROR(VLOOKUP($A31,'[1]liste reference'!$B$7:$D$906,1,0)),"",VLOOKUP($A31,'[1]liste reference'!$B$7:$D$906,1,0)),VLOOKUP($A31,'[1]liste reference'!$A$7:$D$906,2,0))</f>
        <v>Cinclidotus riparius</v>
      </c>
      <c r="E31" s="215" t="e">
        <f aca="false">IF(D31="",0,VLOOKUP(D31,D$22:D30,1,0))</f>
        <v>#N/A</v>
      </c>
      <c r="F31" s="216" t="n">
        <f aca="false">($B31*$B$7+$C31*$C$7)/100</f>
        <v>0.008</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Cinclidotus riparius</v>
      </c>
      <c r="L31" s="222"/>
      <c r="M31" s="222"/>
      <c r="N31" s="222"/>
      <c r="O31" s="223"/>
      <c r="P31" s="206" t="n">
        <f aca="false">IF(ISTEXT(H31),"",(B31*$B$7/100)+(C31*$C$7/100))</f>
        <v>0.008</v>
      </c>
      <c r="Q31" s="207" t="n">
        <f aca="false">IF(OR(ISTEXT(H31),P31=0),"",IF(P31&lt;0.1,1,IF(P31&lt;1,2,IF(P31&lt;10,3,IF(P31&lt;50,4,IF(P31&gt;=50,5,""))))))</f>
        <v>1</v>
      </c>
      <c r="R31" s="207" t="n">
        <f aca="false">IF(ISERROR(Q31*I31),0,Q31*I31)</f>
        <v>13</v>
      </c>
      <c r="S31" s="207" t="n">
        <f aca="false">IF(ISERROR(Q31*I31*J31),0,Q31*I31*J31)</f>
        <v>26</v>
      </c>
      <c r="T31" s="221" t="n">
        <f aca="false">IF(ISERROR(Q31*J31),0,Q31*J31)</f>
        <v>2</v>
      </c>
      <c r="U31" s="208" t="str">
        <f aca="false">IF(AND(A31="",F31=0),"",IF(F31=0,"Il manque le(s) % de rec. !",""))</f>
        <v/>
      </c>
      <c r="V31" s="209"/>
      <c r="X31" s="207" t="str">
        <f aca="false">IF(A31="new.cod","NEW.COD",IF(AND((Y31=""),ISTEXT(A31)),A31,IF(Y31="","",INDEX('[1]liste reference'!$A$7:$A$906,Y31))))</f>
        <v>CIN.RIP</v>
      </c>
      <c r="Y31" s="8" t="n">
        <f aca="false">IF(ISERROR(MATCH(A31,'[1]liste reference'!$A$7:$A$906,0)),IF(ISERROR(MATCH(A31,'[1]liste reference'!$B$7:$B$906,0)),"",(MATCH(A31,'[1]liste reference'!$B$7:$B$906,0))),(MATCH(A31,'[1]liste reference'!$A$7:$A$906,0)))</f>
        <v>175</v>
      </c>
      <c r="Z31" s="210"/>
      <c r="AA31" s="211"/>
      <c r="BB31" s="8" t="n">
        <f aca="false">IF(A31="","",1)</f>
        <v>1</v>
      </c>
    </row>
    <row r="32" customFormat="false" ht="12.8" hidden="false" customHeight="false" outlineLevel="0" collapsed="false">
      <c r="A32" s="212" t="s">
        <v>82</v>
      </c>
      <c r="B32" s="213" t="n">
        <v>0.4</v>
      </c>
      <c r="C32" s="214" t="n">
        <v>0.2</v>
      </c>
      <c r="D32" s="215" t="str">
        <f aca="false">IF(ISERROR(VLOOKUP($A32,'[1]liste reference'!$A$7:$D$906,2,0)),IF(ISERROR(VLOOKUP($A32,'[1]liste reference'!$B$7:$D$906,1,0)),"",VLOOKUP($A32,'[1]liste reference'!$B$7:$D$906,1,0)),VLOOKUP($A32,'[1]liste reference'!$A$7:$D$906,2,0))</f>
        <v>Fontinalis antipyretica</v>
      </c>
      <c r="E32" s="215" t="e">
        <f aca="false">IF(D32="",0,VLOOKUP(D32,D$22:D31,1,0))</f>
        <v>#N/A</v>
      </c>
      <c r="F32" s="224" t="n">
        <f aca="false">($B32*$B$7+$C32*$C$7)/100</f>
        <v>0.32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Fontinalis antipyretica</v>
      </c>
      <c r="L32" s="222"/>
      <c r="M32" s="222"/>
      <c r="N32" s="222"/>
      <c r="O32" s="223"/>
      <c r="P32" s="206" t="n">
        <f aca="false">IF(ISTEXT(H32),"",(B32*$B$7/100)+(C32*$C$7/100))</f>
        <v>0.32</v>
      </c>
      <c r="Q32" s="207" t="n">
        <f aca="false">IF(OR(ISTEXT(H32),P32=0),"",IF(P32&lt;0.1,1,IF(P32&lt;1,2,IF(P32&lt;10,3,IF(P32&lt;50,4,IF(P32&gt;=50,5,""))))))</f>
        <v>2</v>
      </c>
      <c r="R32" s="207" t="n">
        <f aca="false">IF(ISERROR(Q32*I32),0,Q32*I32)</f>
        <v>20</v>
      </c>
      <c r="S32" s="207" t="n">
        <f aca="false">IF(ISERROR(Q32*I32*J32),0,Q32*I32*J32)</f>
        <v>20</v>
      </c>
      <c r="T32" s="221" t="n">
        <f aca="false">IF(ISERROR(Q32*J32),0,Q32*J32)</f>
        <v>2</v>
      </c>
      <c r="U32" s="208" t="str">
        <f aca="false">IF(AND(A32="",F32=0),"",IF(F32=0,"Il manque le(s) % de rec. !",""))</f>
        <v/>
      </c>
      <c r="V32" s="209"/>
      <c r="X32" s="207" t="str">
        <f aca="false">IF(A32="new.cod","NEW.COD",IF(AND((Y32=""),ISTEXT(A32)),A32,IF(Y32="","",INDEX('[1]liste reference'!$A$7:$A$906,Y32))))</f>
        <v>FON.ANT</v>
      </c>
      <c r="Y32" s="8" t="n">
        <f aca="false">IF(ISERROR(MATCH(A32,'[1]liste reference'!$A$7:$A$906,0)),IF(ISERROR(MATCH(A32,'[1]liste reference'!$B$7:$B$906,0)),"",(MATCH(A32,'[1]liste reference'!$B$7:$B$906,0))),(MATCH(A32,'[1]liste reference'!$A$7:$A$906,0)))</f>
        <v>211</v>
      </c>
      <c r="Z32" s="210"/>
      <c r="AA32" s="211"/>
      <c r="BB32" s="8" t="n">
        <f aca="false">IF(A32="","",1)</f>
        <v>1</v>
      </c>
    </row>
    <row r="33" customFormat="false" ht="12.8" hidden="false" customHeight="false" outlineLevel="0" collapsed="false">
      <c r="A33" s="212" t="s">
        <v>83</v>
      </c>
      <c r="B33" s="213"/>
      <c r="C33" s="214" t="n">
        <v>0.03</v>
      </c>
      <c r="D33" s="215" t="str">
        <f aca="false">IF(ISERROR(VLOOKUP($A33,'[1]liste reference'!$A$7:$D$906,2,0)),IF(ISERROR(VLOOKUP($A33,'[1]liste reference'!$B$7:$D$906,1,0)),"",VLOOKUP($A33,'[1]liste reference'!$B$7:$D$906,1,0)),VLOOKUP($A33,'[1]liste reference'!$A$7:$D$906,2,0))</f>
        <v>Porella pinnata</v>
      </c>
      <c r="E33" s="215" t="e">
        <f aca="false">IF(D33="",0,VLOOKUP(D33,D$22:D32,1,0))</f>
        <v>#N/A</v>
      </c>
      <c r="F33" s="224" t="n">
        <f aca="false">($B33*$B$7+$C33*$C$7)/100</f>
        <v>0.012</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Porella pinnata</v>
      </c>
      <c r="L33" s="220"/>
      <c r="M33" s="220"/>
      <c r="N33" s="220"/>
      <c r="O33" s="205"/>
      <c r="P33" s="206" t="n">
        <f aca="false">IF(ISTEXT(H33),"",(B33*$B$7/100)+(C33*$C$7/100))</f>
        <v>0.012</v>
      </c>
      <c r="Q33" s="207" t="n">
        <f aca="false">IF(OR(ISTEXT(H33),P33=0),"",IF(P33&lt;0.1,1,IF(P33&lt;1,2,IF(P33&lt;10,3,IF(P33&lt;50,4,IF(P33&gt;=50,5,""))))))</f>
        <v>1</v>
      </c>
      <c r="R33" s="207" t="n">
        <f aca="false">IF(ISERROR(Q33*I33),0,Q33*I33)</f>
        <v>12</v>
      </c>
      <c r="S33" s="207" t="n">
        <f aca="false">IF(ISERROR(Q33*I33*J33),0,Q33*I33*J33)</f>
        <v>24</v>
      </c>
      <c r="T33" s="221" t="n">
        <f aca="false">IF(ISERROR(Q33*J33),0,Q33*J33)</f>
        <v>2</v>
      </c>
      <c r="U33" s="208" t="str">
        <f aca="false">IF(AND(A33="",F33=0),"",IF(F33=0,"Il manque le(s) % de rec. !",""))</f>
        <v/>
      </c>
      <c r="V33" s="209"/>
      <c r="X33" s="207" t="str">
        <f aca="false">IF(A33="new.cod","NEW.COD",IF(AND((Y33=""),ISTEXT(A33)),A33,IF(Y33="","",INDEX('[1]liste reference'!$A$7:$A$906,Y33))))</f>
        <v>POR.PIN</v>
      </c>
      <c r="Y33" s="8" t="n">
        <f aca="false">IF(ISERROR(MATCH(A33,'[1]liste reference'!$A$7:$A$906,0)),IF(ISERROR(MATCH(A33,'[1]liste reference'!$B$7:$B$906,0)),"",(MATCH(A33,'[1]liste reference'!$B$7:$B$906,0))),(MATCH(A33,'[1]liste reference'!$A$7:$A$906,0)))</f>
        <v>128</v>
      </c>
      <c r="Z33" s="210"/>
      <c r="AA33" s="211"/>
      <c r="BB33" s="8" t="n">
        <f aca="false">IF(A33="","",1)</f>
        <v>1</v>
      </c>
    </row>
    <row r="34" customFormat="false" ht="12.8" hidden="false" customHeight="false" outlineLevel="0" collapsed="false">
      <c r="A34" s="212" t="s">
        <v>84</v>
      </c>
      <c r="B34" s="213" t="n">
        <v>1</v>
      </c>
      <c r="C34" s="214" t="n">
        <v>0.5</v>
      </c>
      <c r="D34" s="215" t="str">
        <f aca="false">IF(ISERROR(VLOOKUP($A34,'[1]liste reference'!$A$7:$D$906,2,0)),IF(ISERROR(VLOOKUP($A34,'[1]liste reference'!$B$7:$D$906,1,0)),"",VLOOKUP($A34,'[1]liste reference'!$B$7:$D$906,1,0)),VLOOKUP($A34,'[1]liste reference'!$A$7:$D$906,2,0))</f>
        <v>Rhynchostegium riparioides (Platyhypnidium rusciforme)</v>
      </c>
      <c r="E34" s="215" t="e">
        <f aca="false">IF(D34="",0,VLOOKUP(D34,D$22:D33,1,0))</f>
        <v>#N/A</v>
      </c>
      <c r="F34" s="224" t="n">
        <f aca="false">($B34*$B$7+$C34*$C$7)/100</f>
        <v>0.8</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Rhynchostegium riparioides (Platyhypnidium rusciforme)</v>
      </c>
      <c r="L34" s="220"/>
      <c r="M34" s="220"/>
      <c r="N34" s="220"/>
      <c r="O34" s="205"/>
      <c r="P34" s="206" t="n">
        <f aca="false">IF(ISTEXT(H34),"",(B34*$B$7/100)+(C34*$C$7/100))</f>
        <v>0.8</v>
      </c>
      <c r="Q34" s="207" t="n">
        <f aca="false">IF(OR(ISTEXT(H34),P34=0),"",IF(P34&lt;0.1,1,IF(P34&lt;1,2,IF(P34&lt;10,3,IF(P34&lt;50,4,IF(P34&gt;=50,5,""))))))</f>
        <v>2</v>
      </c>
      <c r="R34" s="207" t="n">
        <f aca="false">IF(ISERROR(Q34*I34),0,Q34*I34)</f>
        <v>24</v>
      </c>
      <c r="S34" s="207" t="n">
        <f aca="false">IF(ISERROR(Q34*I34*J34),0,Q34*I34*J34)</f>
        <v>24</v>
      </c>
      <c r="T34" s="221" t="n">
        <f aca="false">IF(ISERROR(Q34*J34),0,Q34*J34)</f>
        <v>2</v>
      </c>
      <c r="U34" s="208" t="str">
        <f aca="false">IF(AND(A34="",F34=0),"",IF(F34=0,"Il manque le(s) % de rec. !",""))</f>
        <v/>
      </c>
      <c r="V34" s="209"/>
      <c r="W34" s="209"/>
      <c r="X34" s="207" t="str">
        <f aca="false">IF(A34="new.cod","NEW.COD",IF(AND((Y34=""),ISTEXT(A34)),A34,IF(Y34="","",INDEX('[1]liste reference'!$A$7:$A$906,Y34))))</f>
        <v>RHY.RIP</v>
      </c>
      <c r="Y34" s="8" t="n">
        <f aca="false">IF(ISERROR(MATCH(A34,'[1]liste reference'!$A$7:$A$906,0)),IF(ISERROR(MATCH(A34,'[1]liste reference'!$B$7:$B$906,0)),"",(MATCH(A34,'[1]liste reference'!$B$7:$B$906,0))),(MATCH(A34,'[1]liste reference'!$A$7:$A$906,0)))</f>
        <v>253</v>
      </c>
      <c r="Z34" s="210"/>
      <c r="AA34" s="211"/>
      <c r="BB34" s="8" t="n">
        <f aca="false">IF(A34="","",1)</f>
        <v>1</v>
      </c>
    </row>
    <row r="35" customFormat="false" ht="12.8" hidden="false" customHeight="false" outlineLevel="0" collapsed="false">
      <c r="A35" s="212" t="s">
        <v>85</v>
      </c>
      <c r="B35" s="213"/>
      <c r="C35" s="214" t="n">
        <v>0.05</v>
      </c>
      <c r="D35" s="215" t="str">
        <f aca="false">IF(ISERROR(VLOOKUP($A35,'[1]liste reference'!$A$7:$D$906,2,0)),IF(ISERROR(VLOOKUP($A35,'[1]liste reference'!$B$7:$D$906,1,0)),"",VLOOKUP($A35,'[1]liste reference'!$B$7:$D$906,1,0)),VLOOKUP($A35,'[1]liste reference'!$A$7:$D$906,2,0))</f>
        <v>Iris pseudacorus</v>
      </c>
      <c r="E35" s="215" t="e">
        <f aca="false">IF(D35="",0,VLOOKUP(D35,D$22:D34,1,0))</f>
        <v>#N/A</v>
      </c>
      <c r="F35" s="224" t="n">
        <f aca="false">($B35*$B$7+$C35*$C$7)/100</f>
        <v>0.02</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Iris pseudacorus</v>
      </c>
      <c r="L35" s="220"/>
      <c r="M35" s="220"/>
      <c r="N35" s="220"/>
      <c r="O35" s="205"/>
      <c r="P35" s="206" t="n">
        <f aca="false">IF(ISTEXT(H35),"",(B35*$B$7/100)+(C35*$C$7/100))</f>
        <v>0.02</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W35" s="209"/>
      <c r="X35" s="207" t="str">
        <f aca="false">IF(A35="new.cod","NEW.COD",IF(AND((Y35=""),ISTEXT(A35)),A35,IF(Y35="","",INDEX('[1]liste reference'!$A$7:$A$906,Y35))))</f>
        <v>IRI.PSE</v>
      </c>
      <c r="Y35" s="8" t="n">
        <f aca="false">IF(ISERROR(MATCH(A35,'[1]liste reference'!$A$7:$A$906,0)),IF(ISERROR(MATCH(A35,'[1]liste reference'!$B$7:$B$906,0)),"",(MATCH(A35,'[1]liste reference'!$B$7:$B$906,0))),(MATCH(A35,'[1]liste reference'!$A$7:$A$906,0)))</f>
        <v>588</v>
      </c>
      <c r="Z35" s="210"/>
      <c r="AA35" s="211"/>
      <c r="BB35" s="8" t="n">
        <f aca="false">IF(A35="","",1)</f>
        <v>1</v>
      </c>
    </row>
    <row r="36" customFormat="false" ht="12.8" hidden="false" customHeight="false" outlineLevel="0" collapsed="false">
      <c r="A36" s="212" t="s">
        <v>86</v>
      </c>
      <c r="B36" s="213"/>
      <c r="C36" s="214" t="n">
        <v>0.1</v>
      </c>
      <c r="D36" s="215" t="str">
        <f aca="false">IF(ISERROR(VLOOKUP($A36,'[1]liste reference'!$A$7:$D$906,2,0)),IF(ISERROR(VLOOKUP($A36,'[1]liste reference'!$B$7:$D$906,1,0)),"",VLOOKUP($A36,'[1]liste reference'!$B$7:$D$906,1,0)),VLOOKUP($A36,'[1]liste reference'!$A$7:$D$906,2,0))</f>
        <v>Lysimachia vulgaris</v>
      </c>
      <c r="E36" s="215" t="e">
        <f aca="false">IF(D36="",0,VLOOKUP(D36,D$22:D35,1,0))</f>
        <v>#N/A</v>
      </c>
      <c r="F36" s="224" t="n">
        <f aca="false">($B36*$B$7+$C36*$C$7)/100</f>
        <v>0.04</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Lysimachia vulgaris</v>
      </c>
      <c r="L36" s="220"/>
      <c r="M36" s="220"/>
      <c r="N36" s="220"/>
      <c r="O36" s="205"/>
      <c r="P36" s="206" t="n">
        <f aca="false">IF(ISTEXT(H36),"",(B36*$B$7/100)+(C36*$C$7/100))</f>
        <v>0.04</v>
      </c>
      <c r="Q36" s="207" t="n">
        <f aca="false">IF(OR(ISTEXT(H36),P36=0),"",IF(P36&lt;0.1,1,IF(P36&lt;1,2,IF(P36&lt;10,3,IF(P36&lt;50,4,IF(P36&gt;=50,5,""))))))</f>
        <v>1</v>
      </c>
      <c r="R36" s="207" t="n">
        <f aca="false">IF(ISERROR(Q36*I36),0,Q36*I36)</f>
        <v>0</v>
      </c>
      <c r="S36" s="207" t="n">
        <f aca="false">IF(ISERROR(Q36*I36*J36),0,Q36*I36*J36)</f>
        <v>0</v>
      </c>
      <c r="T36" s="221" t="n">
        <f aca="false">IF(ISERROR(Q36*J36),0,Q36*J36)</f>
        <v>0</v>
      </c>
      <c r="U36" s="208" t="str">
        <f aca="false">IF(AND(A36="",F36=0),"",IF(F36=0,"Il manque le(s) % de rec. !",""))</f>
        <v/>
      </c>
      <c r="V36" s="225"/>
      <c r="X36" s="207" t="str">
        <f aca="false">IF(A36="new.cod","NEW.COD",IF(AND((Y36=""),ISTEXT(A36)),A36,IF(Y36="","",INDEX('[1]liste reference'!$A$7:$A$906,Y36))))</f>
        <v>LYS.VUL</v>
      </c>
      <c r="Y36" s="8" t="n">
        <f aca="false">IF(ISERROR(MATCH(A36,'[1]liste reference'!$A$7:$A$906,0)),IF(ISERROR(MATCH(A36,'[1]liste reference'!$B$7:$B$906,0)),"",(MATCH(A36,'[1]liste reference'!$B$7:$B$906,0))),(MATCH(A36,'[1]liste reference'!$A$7:$A$906,0)))</f>
        <v>607</v>
      </c>
      <c r="Z36" s="210"/>
      <c r="AA36" s="211"/>
      <c r="BB36" s="8" t="n">
        <f aca="false">IF(A36="","",1)</f>
        <v>1</v>
      </c>
    </row>
    <row r="37" customFormat="false" ht="12.8" hidden="false" customHeight="false" outlineLevel="0" collapsed="false">
      <c r="A37" s="212" t="s">
        <v>87</v>
      </c>
      <c r="B37" s="213"/>
      <c r="C37" s="214" t="n">
        <v>0.1</v>
      </c>
      <c r="D37" s="215" t="str">
        <f aca="false">IF(ISERROR(VLOOKUP($A37,'[1]liste reference'!$A$7:$D$906,2,0)),IF(ISERROR(VLOOKUP($A37,'[1]liste reference'!$B$7:$D$906,1,0)),"",VLOOKUP($A37,'[1]liste reference'!$B$7:$D$906,1,0)),VLOOKUP($A37,'[1]liste reference'!$A$7:$D$906,2,0))</f>
        <v>Phalaris arundinacea</v>
      </c>
      <c r="E37" s="215" t="e">
        <f aca="false">IF(D37="",0,VLOOKUP(D37,D$22:D36,1,0))</f>
        <v>#N/A</v>
      </c>
      <c r="F37" s="224" t="n">
        <f aca="false">($B37*$B$7+$C37*$C$7)/100</f>
        <v>0.04</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Phalaris arundinacea</v>
      </c>
      <c r="L37" s="220"/>
      <c r="M37" s="220"/>
      <c r="N37" s="220"/>
      <c r="O37" s="205"/>
      <c r="P37" s="206" t="n">
        <f aca="false">IF(ISTEXT(H37),"",(B37*$B$7/100)+(C37*$C$7/100))</f>
        <v>0.04</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PHA.ARU</v>
      </c>
      <c r="Y37" s="8" t="n">
        <f aca="false">IF(ISERROR(MATCH(A37,'[1]liste reference'!$A$7:$A$906,0)),IF(ISERROR(MATCH(A37,'[1]liste reference'!$B$7:$B$906,0)),"",(MATCH(A37,'[1]liste reference'!$B$7:$B$906,0))),(MATCH(A37,'[1]liste reference'!$A$7:$A$906,0)))</f>
        <v>640</v>
      </c>
      <c r="Z37" s="210"/>
      <c r="AA37" s="211"/>
      <c r="BB37" s="8" t="n">
        <f aca="false">IF(A37="","",1)</f>
        <v>1</v>
      </c>
    </row>
    <row r="38" customFormat="false" ht="12.8" hidden="false" customHeight="false" outlineLevel="0" collapsed="false">
      <c r="A38" s="212" t="s">
        <v>88</v>
      </c>
      <c r="B38" s="213" t="n">
        <v>1.5</v>
      </c>
      <c r="C38" s="214" t="n">
        <v>0.5</v>
      </c>
      <c r="D38" s="215" t="str">
        <f aca="false">IF(ISERROR(VLOOKUP($A38,'[1]liste reference'!$A$7:$D$906,2,0)),IF(ISERROR(VLOOKUP($A38,'[1]liste reference'!$B$7:$D$906,1,0)),"",VLOOKUP($A38,'[1]liste reference'!$B$7:$D$906,1,0)),VLOOKUP($A38,'[1]liste reference'!$A$7:$D$906,2,0))</f>
        <v>Ranunculus peltatus</v>
      </c>
      <c r="E38" s="215" t="e">
        <f aca="false">IF(D38="",0,VLOOKUP(D38,D$22:D37,1,0))</f>
        <v>#N/A</v>
      </c>
      <c r="F38" s="224" t="n">
        <f aca="false">($B38*$B$7+$C38*$C$7)/100</f>
        <v>1.1</v>
      </c>
      <c r="G38" s="217"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8"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Ranunculus peltatus</v>
      </c>
      <c r="L38" s="220"/>
      <c r="M38" s="220"/>
      <c r="N38" s="220"/>
      <c r="O38" s="205"/>
      <c r="P38" s="206" t="n">
        <f aca="false">IF(ISTEXT(H38),"",(B38*$B$7/100)+(C38*$C$7/100))</f>
        <v>1.1</v>
      </c>
      <c r="Q38" s="207" t="n">
        <f aca="false">IF(OR(ISTEXT(H38),P38=0),"",IF(P38&lt;0.1,1,IF(P38&lt;1,2,IF(P38&lt;10,3,IF(P38&lt;50,4,IF(P38&gt;=50,5,""))))))</f>
        <v>3</v>
      </c>
      <c r="R38" s="207" t="n">
        <f aca="false">IF(ISERROR(Q38*I38),0,Q38*I38)</f>
        <v>36</v>
      </c>
      <c r="S38" s="207" t="n">
        <f aca="false">IF(ISERROR(Q38*I38*J38),0,Q38*I38*J38)</f>
        <v>72</v>
      </c>
      <c r="T38" s="221" t="n">
        <f aca="false">IF(ISERROR(Q38*J38),0,Q38*J38)</f>
        <v>6</v>
      </c>
      <c r="U38" s="208" t="str">
        <f aca="false">IF(AND(A38="",F38=0),"",IF(F38=0,"Il manque le(s) % de rec. !",""))</f>
        <v/>
      </c>
      <c r="V38" s="209"/>
      <c r="X38" s="207" t="str">
        <f aca="false">IF(A38="new.cod","NEW.COD",IF(AND((Y38=""),ISTEXT(A38)),A38,IF(Y38="","",INDEX('[1]liste reference'!$A$7:$A$906,Y38))))</f>
        <v>RAN.PEL</v>
      </c>
      <c r="Y38" s="8" t="n">
        <f aca="false">IF(ISERROR(MATCH(A38,'[1]liste reference'!$A$7:$A$906,0)),IF(ISERROR(MATCH(A38,'[1]liste reference'!$B$7:$B$906,0)),"",(MATCH(A38,'[1]liste reference'!$B$7:$B$906,0))),(MATCH(A38,'[1]liste reference'!$A$7:$A$906,0)))</f>
        <v>464</v>
      </c>
      <c r="Z38" s="210"/>
      <c r="AA38" s="211"/>
      <c r="BB38" s="8" t="n">
        <f aca="false">IF(A38="","",1)</f>
        <v>1</v>
      </c>
    </row>
    <row r="39" customFormat="false" ht="12.8"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4"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8"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4"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8"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4"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8"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4"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8"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4"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8"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4"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8"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4"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8"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4"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4"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4"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4"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4"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4"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4"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4"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4"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4"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4"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4"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IF(D58="",0,VLOOKUP(D58,D$22:D51,1,0))</f>
        <v>0</v>
      </c>
      <c r="F58" s="224"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IF(D59="",0,VLOOKUP(D59,D$22:D51,1,0))</f>
        <v>0</v>
      </c>
      <c r="F59" s="224"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IF(D60="",0,VLOOKUP(D60,D$22:D52,1,0))</f>
        <v>0</v>
      </c>
      <c r="F60" s="224"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tru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IF(D61="",0,VLOOKUP(D61,D$22:D49,1,0))</f>
        <v>0</v>
      </c>
      <c r="F61" s="224"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IF(D62="",0,VLOOKUP(D62,D$22:D50,1,0))</f>
        <v>0</v>
      </c>
      <c r="F62" s="224"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IF(D63="",0,VLOOKUP(D63,D$22:D48,1,0))</f>
        <v>0</v>
      </c>
      <c r="F63" s="224"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IF(D64="",0,VLOOKUP(D64,D$22:D49,1,0))</f>
        <v>0</v>
      </c>
      <c r="F64" s="224"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4"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4"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4"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4"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4"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4"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4"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4"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4"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4"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4"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4"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IF(D77="",0,VLOOKUP(D77,D$22:D76,1,0))</f>
        <v>0</v>
      </c>
      <c r="F77" s="224"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IF(D78="",0,VLOOKUP(D78,D$21:D77,1,0))</f>
        <v>0</v>
      </c>
      <c r="F78" s="224"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2"/>
      <c r="M78" s="222"/>
      <c r="N78" s="222"/>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W78" s="226"/>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27"/>
      <c r="B79" s="228"/>
      <c r="C79" s="229"/>
      <c r="D79" s="230" t="str">
        <f aca="false">IF(ISERROR(VLOOKUP($A79,'[1]liste reference'!$A$7:$D$906,2,0)),IF(ISERROR(VLOOKUP($A79,'[1]liste reference'!$B$7:$D$906,1,0)),"",VLOOKUP($A79,'[1]liste reference'!$B$7:$D$906,1,0)),VLOOKUP($A79,'[1]liste reference'!$A$7:$D$906,2,0))</f>
        <v/>
      </c>
      <c r="E79" s="231" t="n">
        <f aca="false">IF(D79="",0,VLOOKUP(D79,D$20:D77,1,0))</f>
        <v>0</v>
      </c>
      <c r="F79" s="232" t="n">
        <f aca="false">($B79*$B$7+$C79*$C$7)/100</f>
        <v>0</v>
      </c>
      <c r="G79" s="233"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34" t="str">
        <f aca="false">IF(ISNUMBER(H79),IF(ISERROR(VLOOKUP($A79,'[1]liste reference'!$A$7:$P$906,3,0)),IF(ISERROR(VLOOKUP($A79,'[1]liste reference'!$B$7:$P$906,2,0)),"",VLOOKUP($A79,'[1]liste reference'!$B$7:$P$906,2,0)),VLOOKUP($A79,'[1]liste reference'!$A$7:$P$906,3,0)),"")</f>
        <v/>
      </c>
      <c r="J79" s="234" t="str">
        <f aca="false">IF(ISNUMBER(H79),IF(ISERROR(VLOOKUP($A79,'[1]liste reference'!$A$7:$P$906,4,0)),IF(ISERROR(VLOOKUP($A79,'[1]liste reference'!$B$7:$P$906,3,0)),"",VLOOKUP($A79,'[1]liste reference'!$B$7:$P$906,3,0)),VLOOKUP($A79,'[1]liste reference'!$A$7:$P$906,4,0)),"")</f>
        <v/>
      </c>
      <c r="K79" s="235" t="str">
        <f aca="false">IF(A79="NEW.COD",AA79,IF(ISTEXT($E79),"DEJA SAISI !",IF(A79="","",IF(ISERROR(VLOOKUP($A79,'[1]liste reference'!$A$7:$D$906,2,0)),IF(ISERROR(VLOOKUP($A79,'[1]liste reference'!$B$7:$D$906,1,0)),"code non répertorié ou synonyme",VLOOKUP($A79,'[1]liste reference'!$B$7:$D$906,1,0)),VLOOKUP(A79,'[1]liste reference'!$A$7:$D$906,2,0)))))</f>
        <v/>
      </c>
      <c r="L79" s="236"/>
      <c r="M79" s="236"/>
      <c r="N79" s="236"/>
      <c r="O79" s="237"/>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38"/>
      <c r="W79" s="23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3.8" hidden="true" customHeight="false" outlineLevel="0" collapsed="false">
      <c r="A80" s="240" t="s">
        <v>89</v>
      </c>
      <c r="B80" s="152"/>
      <c r="C80" s="152"/>
      <c r="D80" s="152"/>
      <c r="E80" s="152"/>
      <c r="F80" s="152"/>
      <c r="G80" s="152"/>
      <c r="H80" s="152"/>
      <c r="I80" s="152"/>
      <c r="J80" s="152"/>
      <c r="K80" s="152"/>
      <c r="L80" s="152"/>
      <c r="M80" s="207"/>
      <c r="N80" s="207"/>
      <c r="O80" s="241"/>
      <c r="P80" s="241"/>
      <c r="Q80" s="241"/>
      <c r="R80" s="241"/>
      <c r="S80" s="8"/>
      <c r="T80" s="8"/>
      <c r="U80" s="241"/>
      <c r="V80" s="241"/>
      <c r="W80" s="241"/>
      <c r="X80" s="242"/>
      <c r="Y80" s="242"/>
      <c r="Z80" s="242"/>
      <c r="AA80" s="243"/>
      <c r="AB80" s="243"/>
      <c r="AC80" s="243"/>
    </row>
    <row r="81" customFormat="false" ht="12.75" hidden="true" customHeight="false" outlineLevel="0" collapsed="false">
      <c r="A81" s="244" t="str">
        <f aca="false">A3</f>
        <v>CHER</v>
      </c>
      <c r="B81" s="245" t="str">
        <f aca="false">C3</f>
        <v>Chambonchard</v>
      </c>
      <c r="C81" s="246" t="n">
        <f aca="false">A4</f>
        <v>39645</v>
      </c>
      <c r="D81" s="247" t="n">
        <f aca="false">IF(ISERROR(SUM($S$23:$S$79)/SUM($T$23:$T$79)),"",SUM($S$23:$S$79)/SUM($T$23:$T$79))</f>
        <v>12.35</v>
      </c>
      <c r="E81" s="248" t="n">
        <f aca="false">N13</f>
        <v>16</v>
      </c>
      <c r="F81" s="249" t="n">
        <f aca="false">N14</f>
        <v>14</v>
      </c>
      <c r="G81" s="249" t="n">
        <f aca="false">N15</f>
        <v>5</v>
      </c>
      <c r="H81" s="249" t="n">
        <f aca="false">N16</f>
        <v>8</v>
      </c>
      <c r="I81" s="249" t="n">
        <f aca="false">N17</f>
        <v>1</v>
      </c>
      <c r="J81" s="250" t="n">
        <f aca="false">N8</f>
        <v>12</v>
      </c>
      <c r="K81" s="247" t="n">
        <f aca="false">N9</f>
        <v>2.57203899958469</v>
      </c>
      <c r="L81" s="248" t="n">
        <f aca="false">N10</f>
        <v>6</v>
      </c>
      <c r="M81" s="248" t="n">
        <f aca="false">N11</f>
        <v>16</v>
      </c>
      <c r="N81" s="247" t="n">
        <f aca="false">O8</f>
        <v>1.71428571428571</v>
      </c>
      <c r="O81" s="247" t="n">
        <f aca="false">O9</f>
        <v>0.611249845502127</v>
      </c>
      <c r="P81" s="248" t="n">
        <f aca="false">O10</f>
        <v>1</v>
      </c>
      <c r="Q81" s="248" t="n">
        <f aca="false">O11</f>
        <v>3</v>
      </c>
      <c r="R81" s="251" t="n">
        <f aca="false">F21</f>
        <v>9.594</v>
      </c>
      <c r="S81" s="248" t="n">
        <f aca="false">K11</f>
        <v>0</v>
      </c>
      <c r="T81" s="248" t="n">
        <f aca="false">K12</f>
        <v>6</v>
      </c>
      <c r="U81" s="248" t="n">
        <f aca="false">K13</f>
        <v>5</v>
      </c>
      <c r="V81" s="252" t="n">
        <f aca="false">K14</f>
        <v>0</v>
      </c>
      <c r="W81" s="253" t="n">
        <f aca="false">K15</f>
        <v>4</v>
      </c>
      <c r="Y81" s="226"/>
      <c r="Z81" s="226"/>
      <c r="AA81" s="243"/>
      <c r="AB81" s="243"/>
      <c r="AC81" s="243"/>
    </row>
    <row r="82" customFormat="false" ht="12.75" hidden="true" customHeight="false" outlineLevel="0" collapsed="false">
      <c r="P82" s="8"/>
      <c r="Q82" s="8"/>
      <c r="R82" s="8"/>
      <c r="S82" s="8"/>
      <c r="T82" s="8"/>
      <c r="U82" s="8"/>
    </row>
    <row r="83" customFormat="false" ht="12.75" hidden="true" customHeight="false" outlineLevel="0" collapsed="false">
      <c r="P83" s="254" t="s">
        <v>90</v>
      </c>
      <c r="Q83" s="8"/>
      <c r="R83" s="208"/>
      <c r="S83" s="8"/>
      <c r="T83" s="8"/>
      <c r="U83" s="8"/>
    </row>
    <row r="84" customFormat="false" ht="12.75" hidden="true" customHeight="false" outlineLevel="0" collapsed="false">
      <c r="P84" s="8" t="s">
        <v>91</v>
      </c>
      <c r="Q84" s="8"/>
      <c r="R84" s="208" t="n">
        <f aca="false">VLOOKUP(MAX($R$23:$R$79),($R$23:$T$79),1,0)</f>
        <v>45</v>
      </c>
      <c r="S84" s="8"/>
      <c r="T84" s="8"/>
      <c r="U84" s="8"/>
    </row>
    <row r="85" customFormat="false" ht="12.75" hidden="true" customHeight="false" outlineLevel="0" collapsed="false">
      <c r="P85" s="8" t="s">
        <v>92</v>
      </c>
      <c r="Q85" s="8"/>
      <c r="R85" s="208" t="n">
        <f aca="false">VLOOKUP((R84),($R$23:$T$79),2,0)</f>
        <v>90</v>
      </c>
      <c r="S85" s="8"/>
      <c r="T85" s="8"/>
      <c r="U85" s="8"/>
    </row>
    <row r="86" customFormat="false" ht="12.75" hidden="true" customHeight="false" outlineLevel="0" collapsed="false">
      <c r="P86" s="8" t="s">
        <v>93</v>
      </c>
      <c r="Q86" s="8"/>
      <c r="R86" s="208" t="n">
        <f aca="false">VLOOKUP((R84),($R$23:$T$79),3,0)</f>
        <v>6</v>
      </c>
      <c r="S86" s="8"/>
    </row>
    <row r="87" customFormat="false" ht="12.75" hidden="true" customHeight="false" outlineLevel="0" collapsed="false">
      <c r="P87" s="8" t="s">
        <v>94</v>
      </c>
      <c r="Q87" s="8"/>
      <c r="R87" s="255" t="n">
        <f aca="false">IF(ISERROR(SUM($S$23:$S$79)/SUM($T$23:$T$79)),"",(SUM($S$23:$S$79)-R85)/(SUM($T$23:$T$79)-R86))</f>
        <v>11.8823529411765</v>
      </c>
      <c r="S87" s="8"/>
    </row>
    <row r="88" customFormat="false" ht="12.75" hidden="true" customHeight="false" outlineLevel="0" collapsed="false">
      <c r="P88" s="207" t="s">
        <v>95</v>
      </c>
      <c r="Q88" s="207"/>
      <c r="R88" s="207" t="str">
        <f aca="false">INDEX('[1]liste reference'!$A$7:$A$906,$S$88)</f>
        <v>LEA.SPX</v>
      </c>
      <c r="S88" s="8" t="n">
        <f aca="false">IF(ISERROR(MATCH($R$90,'[1]liste reference'!$A$7:$A$906,0)),MATCH($R$90,'[1]liste reference'!$B$7:$B$906,0),(MATCH($R$90,'[1]liste reference'!$A$7:$A$906,0)))</f>
        <v>35</v>
      </c>
      <c r="T88" s="243"/>
    </row>
    <row r="89" customFormat="false" ht="12.75" hidden="true" customHeight="false" outlineLevel="0" collapsed="false">
      <c r="P89" s="8" t="s">
        <v>96</v>
      </c>
      <c r="Q89" s="8"/>
      <c r="R89" s="8" t="n">
        <f aca="false">MATCH(R84,$R$23:$R$79,0)</f>
        <v>4</v>
      </c>
      <c r="S89" s="8"/>
    </row>
    <row r="90" customFormat="false" ht="12.75" hidden="true" customHeight="false" outlineLevel="0" collapsed="false">
      <c r="P90" s="207" t="s">
        <v>97</v>
      </c>
      <c r="Q90" s="8"/>
      <c r="R90" s="207" t="str">
        <f aca="false">INDEX($A$23:$A$79,$R$89)</f>
        <v>LEA.SPX</v>
      </c>
      <c r="S90" s="8"/>
    </row>
    <row r="91" customFormat="false" ht="12.75" hidden="false" customHeight="false" outlineLevel="0" collapsed="false">
      <c r="R91" s="243"/>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0:Y80"/>
  </mergeCells>
  <conditionalFormatting sqref="A23:A79">
    <cfRule type="expression" priority="2" aboveAverage="0" equalAverage="0" bottom="0" percent="0" rank="0" text="" dxfId="0">
      <formula>ISTEXT($E23)</formula>
    </cfRule>
  </conditionalFormatting>
  <conditionalFormatting sqref="H23:J79">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79 K23:K79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79"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39"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79"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79" type="none">
      <formula1>0</formula1>
      <formula2>0</formula2>
    </dataValidation>
    <dataValidation allowBlank="false" error="Veuillez sélectionner Cf. dans la liste déroulante" errorStyle="stop" errorTitle="ATTENTION" operator="between" showDropDown="false" showErrorMessage="true" showInputMessage="false" sqref="Z23:Z79"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2024-03-12T20:55:39Z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