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her" sheetId="1" state="visible" r:id="rId3"/>
  </sheets>
  <externalReferences>
    <externalReference r:id="rId4"/>
  </externalReferences>
  <definedNames>
    <definedName function="false" hidden="false" localSheetId="0" name="Excel_BuiltIn_Print_Area" vbProcedure="false">Cher!$A$1:$O$82</definedName>
    <definedName function="false" hidden="false" localSheetId="0" name="Excel_BuiltIn__FilterDatabase" vbProcedure="false">Cher!$A$23:$J$84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<sst xmlns="http://schemas.openxmlformats.org/spreadsheetml/2006/main" count="93" uniqueCount="89">
  <si>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</si>
  <si>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</si>
  <si>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</si>
  <si>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</si>
  <si>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</si>
  <si>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Cher</t>
  </si>
  <si>
    <t xml:space="preserve">Chambonchard</t>
  </si>
  <si>
    <t xml:space="preserve">04057000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</si>
  <si>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</si>
  <si>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</si>
  <si>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</si>
  <si>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</si>
  <si>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</si>
  <si>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</si>
  <si>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</si>
  <si>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</si>
  <si>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</si>
  <si>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radier</t>
  </si>
  <si>
    <t xml:space="preserve">niv. trophique:</t>
  </si>
  <si>
    <t xml:space="preserve">faible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</si>
  <si>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</si>
  <si>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</si>
  <si>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</si>
  <si>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</si>
  <si>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</si>
  <si>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</si>
  <si>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</si>
  <si>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</si>
  <si>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</si>
  <si>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</si>
  <si>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</si>
  <si>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</si>
  <si>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</si>
  <si>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</si>
  <si>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</si>
  <si>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</si>
  <si>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</si>
  <si>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</si>
  <si>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</si>
  <si>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</si>
  <si>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</si>
  <si>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</si>
  <si>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</si>
  <si>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</si>
  <si>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</si>
  <si>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</si>
  <si>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</si>
  <si>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</si>
  <si>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</si>
  <si>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</si>
  <si>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</si>
  <si>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</si>
  <si>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</si>
  <si>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</si>
  <si>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</si>
  <si>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</si>
  <si>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</si>
  <si>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</si>
  <si>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</si>
  <si>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</si>
  <si>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</si>
  <si>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</si>
  <si>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</si>
  <si>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</si>
  <si>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</si>
  <si>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</si>
  <si>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</si>
  <si>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</si>
  <si>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</si>
  <si>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</si>
  <si>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</si>
  <si>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</si>
  <si>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</si>
  <si>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MEL.SPX</t>
  </si>
  <si>
    <t xml:space="preserve">OSC.SPX</t>
  </si>
  <si>
    <t xml:space="preserve">CLA.SPX</t>
  </si>
  <si>
    <t xml:space="preserve">AUD.SPX</t>
  </si>
  <si>
    <t xml:space="preserve">FON.ANT</t>
  </si>
  <si>
    <t xml:space="preserve">RHY.RIP</t>
  </si>
  <si>
    <t xml:space="preserve">HIL.SPX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</si>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</sst>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40401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12.2727272727273</v>
      </c>
      <c r="M5" s="51"/>
      <c r="N5" s="52" t="s">
        <v>15</v>
      </c>
      <c r="O5" s="53" t="n">
        <v>11.6666666666667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/>
      <c r="D6" s="44"/>
      <c r="E6" s="44"/>
      <c r="F6" s="45"/>
      <c r="G6" s="46"/>
      <c r="H6" s="44"/>
      <c r="I6" s="57" t="s">
        <v>18</v>
      </c>
      <c r="J6" s="58"/>
      <c r="K6" s="59"/>
      <c r="L6" s="60" t="s">
        <v>19</v>
      </c>
      <c r="M6" s="61"/>
      <c r="N6" s="62" t="s">
        <v>20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21</v>
      </c>
      <c r="B7" s="64" t="n">
        <v>100</v>
      </c>
      <c r="C7" s="65"/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22</v>
      </c>
      <c r="O7" s="75" t="s">
        <v>23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24</v>
      </c>
      <c r="B8" s="76"/>
      <c r="C8" s="76"/>
      <c r="D8" s="66"/>
      <c r="E8" s="66"/>
      <c r="F8" s="77" t="s">
        <v>25</v>
      </c>
      <c r="G8" s="78"/>
      <c r="H8" s="79"/>
      <c r="I8" s="69"/>
      <c r="J8" s="70"/>
      <c r="K8" s="71"/>
      <c r="L8" s="72"/>
      <c r="M8" s="80" t="s">
        <v>26</v>
      </c>
      <c r="N8" s="81" t="n">
        <f aca="false">AVERAGE(I23:I82)</f>
        <v>11.5</v>
      </c>
      <c r="O8" s="82" t="n">
        <f aca="false">AVERAGE(J23:J82)</f>
        <v>1.375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27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28</v>
      </c>
      <c r="N9" s="81" t="n">
        <f aca="false">STDEV(I23:I82)</f>
        <v>2.97609523657138</v>
      </c>
      <c r="O9" s="82" t="n">
        <f aca="false">STDEV(J23:J82)</f>
        <v>0.517549169506766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29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30</v>
      </c>
      <c r="K10" s="101"/>
      <c r="L10" s="102"/>
      <c r="M10" s="103" t="s">
        <v>31</v>
      </c>
      <c r="N10" s="104" t="n">
        <f aca="false">MIN(I23:I82)</f>
        <v>6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32</v>
      </c>
      <c r="B11" s="107" t="n">
        <v>0</v>
      </c>
      <c r="C11" s="108"/>
      <c r="D11" s="109"/>
      <c r="E11" s="109"/>
      <c r="F11" s="110" t="n">
        <f aca="false">($B11*$B$7+$C11*$C$7)/100</f>
        <v>0</v>
      </c>
      <c r="G11" s="111"/>
      <c r="H11" s="66"/>
      <c r="I11" s="112" t="s">
        <v>33</v>
      </c>
      <c r="J11" s="112"/>
      <c r="K11" s="113" t="n">
        <f aca="false">COUNTIF($G$23:$G$82,"=HET")</f>
        <v>0</v>
      </c>
      <c r="L11" s="114"/>
      <c r="M11" s="103" t="s">
        <v>34</v>
      </c>
      <c r="N11" s="104" t="n">
        <f aca="false">MAX(I23:I82)</f>
        <v>15</v>
      </c>
      <c r="O11" s="105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35</v>
      </c>
      <c r="B12" s="116" t="n">
        <v>0.06</v>
      </c>
      <c r="C12" s="117"/>
      <c r="D12" s="109"/>
      <c r="E12" s="109"/>
      <c r="F12" s="110" t="n">
        <f aca="false">($B12*$B$7+$C12*$C$7)/100</f>
        <v>0.06</v>
      </c>
      <c r="G12" s="118"/>
      <c r="H12" s="66"/>
      <c r="I12" s="119" t="s">
        <v>36</v>
      </c>
      <c r="J12" s="119"/>
      <c r="K12" s="113" t="n">
        <f aca="false">COUNTIF($G$23:$G$82,"=ALG")</f>
        <v>6</v>
      </c>
      <c r="L12" s="120"/>
      <c r="M12" s="121"/>
      <c r="N12" s="122" t="s">
        <v>30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37</v>
      </c>
      <c r="B13" s="116" t="n">
        <v>0.02</v>
      </c>
      <c r="C13" s="117"/>
      <c r="D13" s="109"/>
      <c r="E13" s="109"/>
      <c r="F13" s="110" t="n">
        <f aca="false">($B13*$B$7+$C13*$C$7)/100</f>
        <v>0.02</v>
      </c>
      <c r="G13" s="118"/>
      <c r="H13" s="66"/>
      <c r="I13" s="119" t="s">
        <v>38</v>
      </c>
      <c r="J13" s="119"/>
      <c r="K13" s="113" t="n">
        <f aca="false">COUNTIF($G$23:$G$82,"=BRm")+COUNTIF($G$23:$G$82,"=BRh")</f>
        <v>2</v>
      </c>
      <c r="L13" s="114"/>
      <c r="M13" s="124" t="s">
        <v>39</v>
      </c>
      <c r="N13" s="125" t="n">
        <f aca="false">COUNTIF(F23:F82,"&gt;0")</f>
        <v>8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40</v>
      </c>
      <c r="B14" s="116" t="n">
        <v>0</v>
      </c>
      <c r="C14" s="117"/>
      <c r="D14" s="109"/>
      <c r="E14" s="109"/>
      <c r="F14" s="110" t="n">
        <f aca="false">($B14*$B$7+$C14*$C$7)/100</f>
        <v>0</v>
      </c>
      <c r="G14" s="118"/>
      <c r="H14" s="66"/>
      <c r="I14" s="119" t="s">
        <v>41</v>
      </c>
      <c r="J14" s="119"/>
      <c r="K14" s="113" t="n">
        <f aca="false">COUNTIF($G$23:$G$82,"=PTE")</f>
        <v>0</v>
      </c>
      <c r="L14" s="114"/>
      <c r="M14" s="127" t="s">
        <v>42</v>
      </c>
      <c r="N14" s="128" t="n">
        <f aca="false">COUNTIF($I$23:$I$82,"&gt;-1")</f>
        <v>8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43</v>
      </c>
      <c r="B15" s="131" t="n">
        <v>0</v>
      </c>
      <c r="C15" s="132"/>
      <c r="D15" s="109"/>
      <c r="E15" s="109"/>
      <c r="F15" s="110" t="n">
        <f aca="false">($B15*$B$7+$C15*$C$7)/100</f>
        <v>0</v>
      </c>
      <c r="G15" s="118"/>
      <c r="H15" s="66"/>
      <c r="I15" s="119" t="s">
        <v>44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3" t="s">
        <v>45</v>
      </c>
      <c r="N15" s="134" t="n">
        <f aca="false">COUNTIF(J23:J82,"=1")</f>
        <v>5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46</v>
      </c>
      <c r="B16" s="107" t="n">
        <v>0</v>
      </c>
      <c r="C16" s="108"/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47</v>
      </c>
      <c r="N16" s="134" t="n">
        <f aca="false">COUNTIF(J23:J82,"=2")</f>
        <v>3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48</v>
      </c>
      <c r="B17" s="116" t="n">
        <v>0.08</v>
      </c>
      <c r="C17" s="117"/>
      <c r="D17" s="109"/>
      <c r="E17" s="109"/>
      <c r="F17" s="139"/>
      <c r="G17" s="110" t="n">
        <f aca="false">($B17*$B$7+$C17*$C$7)/100</f>
        <v>0.08</v>
      </c>
      <c r="H17" s="66"/>
      <c r="I17" s="119"/>
      <c r="J17" s="119"/>
      <c r="K17" s="138"/>
      <c r="L17" s="114"/>
      <c r="M17" s="133" t="s">
        <v>49</v>
      </c>
      <c r="N17" s="134" t="n">
        <f aca="false">COUNTIF(J23:J82,"=3")</f>
        <v>0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50</v>
      </c>
      <c r="B18" s="141" t="n">
        <v>0</v>
      </c>
      <c r="C18" s="142"/>
      <c r="D18" s="109"/>
      <c r="E18" s="143" t="s">
        <v>51</v>
      </c>
      <c r="F18" s="139"/>
      <c r="G18" s="110" t="n">
        <f aca="false">($B18*$B$7+$C18*$C$7)/100</f>
        <v>0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0.08</v>
      </c>
      <c r="G19" s="151" t="n">
        <f aca="false">SUM(G16:G18)</f>
        <v>0.08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52</v>
      </c>
      <c r="B20" s="159" t="n">
        <f aca="false">SUM(B23:B82)</f>
        <v>0.08</v>
      </c>
      <c r="C20" s="160" t="n">
        <f aca="false">SUM(C23:C82)</f>
        <v>0</v>
      </c>
      <c r="D20" s="161"/>
      <c r="E20" s="162" t="s">
        <v>51</v>
      </c>
      <c r="F20" s="163" t="n">
        <f aca="false">($B20*$B$7+$C20*$C$7)/100</f>
        <v>0.08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53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54</v>
      </c>
      <c r="B21" s="172" t="n">
        <f aca="false">B20*B7/100</f>
        <v>0.08</v>
      </c>
      <c r="C21" s="172" t="n">
        <f aca="false">C20*C7/100</f>
        <v>0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0.08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55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56</v>
      </c>
      <c r="B22" s="182" t="s">
        <v>57</v>
      </c>
      <c r="C22" s="183" t="s">
        <v>57</v>
      </c>
      <c r="D22" s="136"/>
      <c r="E22" s="136"/>
      <c r="F22" s="184" t="s">
        <v>58</v>
      </c>
      <c r="G22" s="185" t="s">
        <v>59</v>
      </c>
      <c r="H22" s="136"/>
      <c r="I22" s="186" t="s">
        <v>60</v>
      </c>
      <c r="J22" s="186" t="s">
        <v>61</v>
      </c>
      <c r="K22" s="187" t="s">
        <v>62</v>
      </c>
      <c r="L22" s="187"/>
      <c r="M22" s="187"/>
      <c r="N22" s="187"/>
      <c r="O22" s="187"/>
      <c r="P22" s="188" t="s">
        <v>63</v>
      </c>
      <c r="Q22" s="189" t="s">
        <v>64</v>
      </c>
      <c r="R22" s="190" t="s">
        <v>65</v>
      </c>
      <c r="S22" s="191" t="s">
        <v>66</v>
      </c>
      <c r="T22" s="192" t="s">
        <v>67</v>
      </c>
      <c r="U22" s="190" t="s">
        <v>68</v>
      </c>
      <c r="X22" s="8" t="s">
        <v>69</v>
      </c>
      <c r="Y22" s="8" t="s">
        <v>70</v>
      </c>
      <c r="Z22" s="193" t="s">
        <v>71</v>
      </c>
      <c r="AA22" s="193" t="s">
        <v>72</v>
      </c>
    </row>
    <row r="23" customFormat="false" ht="12.75" hidden="false" customHeight="false" outlineLevel="0" collapsed="false">
      <c r="A23" s="194" t="s">
        <v>73</v>
      </c>
      <c r="B23" s="195" t="n">
        <v>0.01</v>
      </c>
      <c r="C23" s="196"/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Melosira sp.</v>
      </c>
      <c r="E23" s="197" t="e">
        <f aca="false">IF(D23="",0,VLOOKUP(D23,D$22:D22,1,0))</f>
        <v>#N/A</v>
      </c>
      <c r="F23" s="198" t="n">
        <f aca="false">($B23*$B$7+$C23*$C$7)/100</f>
        <v>0.01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10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Melosira sp.</v>
      </c>
      <c r="L23" s="204"/>
      <c r="M23" s="204"/>
      <c r="N23" s="204"/>
      <c r="O23" s="205"/>
      <c r="P23" s="206" t="n">
        <f aca="false">IF(ISTEXT(H23),"",(B23*$B$7/100)+(C23*$C$7/100))</f>
        <v>0.01</v>
      </c>
      <c r="Q23" s="207" t="n">
        <f aca="false">IF(OR(ISTEXT(H23),P23=0),"",IF(P23&lt;0.1,1,IF(P23&lt;1,2,IF(P23&lt;10,3,IF(P23&lt;50,4,IF(P23&gt;=50,5,""))))))</f>
        <v>1</v>
      </c>
      <c r="R23" s="207" t="n">
        <f aca="false">IF(ISERROR(Q23*I23),0,Q23*I23)</f>
        <v>10</v>
      </c>
      <c r="S23" s="207" t="n">
        <f aca="false">IF(ISERROR(Q23*I23*J23),0,Q23*I23*J23)</f>
        <v>10</v>
      </c>
      <c r="T23" s="207" t="n">
        <f aca="false">IF(ISERROR(Q23*J23),0,Q23*J23)</f>
        <v>1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MEL.SPX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37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74</v>
      </c>
      <c r="B24" s="213" t="n">
        <v>0.01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Oscillatoria sp.       </v>
      </c>
      <c r="E24" s="215" t="e">
        <f aca="false">IF(D24="",0,VLOOKUP(D24,D$22:D23,1,0))</f>
        <v>#N/A</v>
      </c>
      <c r="F24" s="216" t="n">
        <f aca="false">($B24*$B$7+$C24*$C$7)/100</f>
        <v>0.01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11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1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Oscillatoria sp.       </v>
      </c>
      <c r="L24" s="220"/>
      <c r="M24" s="220"/>
      <c r="N24" s="220"/>
      <c r="O24" s="205"/>
      <c r="P24" s="206" t="n">
        <f aca="false">IF(ISTEXT(H24),"",(B24*$B$7/100)+(C24*$C$7/100))</f>
        <v>0.01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11</v>
      </c>
      <c r="S24" s="207" t="n">
        <f aca="false">IF(ISERROR(Q24*I24*J24),0,Q24*I24*J24)</f>
        <v>11</v>
      </c>
      <c r="T24" s="221" t="n">
        <f aca="false">IF(ISERROR(Q24*J24),0,Q24*J24)</f>
        <v>1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OSC.SPX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57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75</v>
      </c>
      <c r="B25" s="213" t="n">
        <v>0.01</v>
      </c>
      <c r="C25" s="214"/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Cladophora sp. </v>
      </c>
      <c r="E25" s="215" t="e">
        <f aca="false">IF(D25="",0,VLOOKUP(D25,D$22:D24,1,0))</f>
        <v>#N/A</v>
      </c>
      <c r="F25" s="216" t="n">
        <f aca="false">($B25*$B$7+$C25*$C$7)/100</f>
        <v>0.01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6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Cladophora sp. </v>
      </c>
      <c r="L25" s="220"/>
      <c r="M25" s="220"/>
      <c r="N25" s="220"/>
      <c r="O25" s="205"/>
      <c r="P25" s="206" t="n">
        <f aca="false">IF(ISTEXT(H25),"",(B25*$B$7/100)+(C25*$C$7/100))</f>
        <v>0.01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6</v>
      </c>
      <c r="S25" s="207" t="n">
        <f aca="false">IF(ISERROR(Q25*I25*J25),0,Q25*I25*J25)</f>
        <v>6</v>
      </c>
      <c r="T25" s="221" t="n">
        <f aca="false">IF(ISERROR(Q25*J25),0,Q25*J25)</f>
        <v>1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CLA.SPX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24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15</v>
      </c>
      <c r="B26" s="213" t="n">
        <v>0.01</v>
      </c>
      <c r="C26" s="214"/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Lemanea gr. fluviatilis</v>
      </c>
      <c r="E26" s="215" t="e">
        <f aca="false">IF(D26="",0,VLOOKUP(D26,D$22:D25,1,0))</f>
        <v>#N/A</v>
      </c>
      <c r="F26" s="216" t="n">
        <f aca="false">($B26*$B$7+$C26*$C$7)/100</f>
        <v>0.01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15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2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Lemanea gr. fluviatilis</v>
      </c>
      <c r="L26" s="220"/>
      <c r="M26" s="220"/>
      <c r="N26" s="220"/>
      <c r="O26" s="205"/>
      <c r="P26" s="206" t="n">
        <f aca="false">IF(ISTEXT(H26),"",(B26*$B$7/100)+(C26*$C$7/100))</f>
        <v>0.01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15</v>
      </c>
      <c r="S26" s="207" t="n">
        <f aca="false">IF(ISERROR(Q26*I26*J26),0,Q26*I26*J26)</f>
        <v>30</v>
      </c>
      <c r="T26" s="221" t="n">
        <f aca="false">IF(ISERROR(Q26*J26),0,Q26*J26)</f>
        <v>2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LEA.SPX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35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76</v>
      </c>
      <c r="B27" s="213" t="n">
        <v>0.01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Audouinella sp.</v>
      </c>
      <c r="E27" s="215" t="e">
        <f aca="false">IF(D27="",0,VLOOKUP(D27,D$22:D26,1,0))</f>
        <v>#N/A</v>
      </c>
      <c r="F27" s="216" t="n">
        <f aca="false">($B27*$B$7+$C27*$C$7)/100</f>
        <v>0.01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ALG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2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13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2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Audouinella sp.</v>
      </c>
      <c r="L27" s="220"/>
      <c r="M27" s="220"/>
      <c r="N27" s="220"/>
      <c r="O27" s="205"/>
      <c r="P27" s="206" t="n">
        <f aca="false">IF(ISTEXT(H27),"",(B27*$B$7/100)+(C27*$C$7/100))</f>
        <v>0.01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13</v>
      </c>
      <c r="S27" s="207" t="n">
        <f aca="false">IF(ISERROR(Q27*I27*J27),0,Q27*I27*J27)</f>
        <v>26</v>
      </c>
      <c r="T27" s="221" t="n">
        <f aca="false">IF(ISERROR(Q27*J27),0,Q27*J27)</f>
        <v>2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AUD.SPX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6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77</v>
      </c>
      <c r="B28" s="213" t="n">
        <v>0.01</v>
      </c>
      <c r="C28" s="214"/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Fontinalis antipyretica</v>
      </c>
      <c r="E28" s="215" t="e">
        <f aca="false">IF(D28="",0,VLOOKUP(D28,D$22:D27,1,0))</f>
        <v>#N/A</v>
      </c>
      <c r="F28" s="216" t="n">
        <f aca="false">($B28*$B$7+$C28*$C$7)/100</f>
        <v>0.01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BRm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5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10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Fontinalis antipyretica</v>
      </c>
      <c r="L28" s="220"/>
      <c r="M28" s="220"/>
      <c r="N28" s="220"/>
      <c r="O28" s="205"/>
      <c r="P28" s="206" t="n">
        <f aca="false">IF(ISTEXT(H28),"",(B28*$B$7/100)+(C28*$C$7/100))</f>
        <v>0.01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10</v>
      </c>
      <c r="S28" s="207" t="n">
        <f aca="false">IF(ISERROR(Q28*I28*J28),0,Q28*I28*J28)</f>
        <v>10</v>
      </c>
      <c r="T28" s="221" t="n">
        <f aca="false">IF(ISERROR(Q28*J28),0,Q28*J28)</f>
        <v>1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FON.ANT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211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78</v>
      </c>
      <c r="B29" s="213" t="n">
        <v>0.01</v>
      </c>
      <c r="C29" s="214"/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Rhynchostegium riparioides (Platyhypnidium rusciforme)</v>
      </c>
      <c r="E29" s="215" t="e">
        <f aca="false">IF(D29="",0,VLOOKUP(D29,D$22:D28,1,0))</f>
        <v>#N/A</v>
      </c>
      <c r="F29" s="216" t="n">
        <f aca="false">($B29*$B$7+$C29*$C$7)/100</f>
        <v>0.01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BRm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5</v>
      </c>
      <c r="I29" s="218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12</v>
      </c>
      <c r="J29" s="202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1</v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Rhynchostegium riparioides (Platyhypnidium rusciforme)</v>
      </c>
      <c r="L29" s="220"/>
      <c r="M29" s="220"/>
      <c r="N29" s="220"/>
      <c r="O29" s="205"/>
      <c r="P29" s="206" t="n">
        <f aca="false">IF(ISTEXT(H29),"",(B29*$B$7/100)+(C29*$C$7/100))</f>
        <v>0.01</v>
      </c>
      <c r="Q29" s="207" t="n">
        <f aca="false">IF(OR(ISTEXT(H29),P29=0),"",IF(P29&lt;0.1,1,IF(P29&lt;1,2,IF(P29&lt;10,3,IF(P29&lt;50,4,IF(P29&gt;=50,5,""))))))</f>
        <v>1</v>
      </c>
      <c r="R29" s="207" t="n">
        <f aca="false">IF(ISERROR(Q29*I29),0,Q29*I29)</f>
        <v>12</v>
      </c>
      <c r="S29" s="207" t="n">
        <f aca="false">IF(ISERROR(Q29*I29*J29),0,Q29*I29*J29)</f>
        <v>12</v>
      </c>
      <c r="T29" s="221" t="n">
        <f aca="false">IF(ISERROR(Q29*J29),0,Q29*J29)</f>
        <v>1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RHY.RIP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253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 t="s">
        <v>79</v>
      </c>
      <c r="B30" s="213" t="n">
        <v>0.01</v>
      </c>
      <c r="C30" s="214"/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Hildenbrandia rivularis</v>
      </c>
      <c r="E30" s="215" t="e">
        <f aca="false">IF(D30="",0,VLOOKUP(D30,D$22:D29,1,0))</f>
        <v>#N/A</v>
      </c>
      <c r="F30" s="216" t="n">
        <f aca="false">($B30*$B$7+$C30*$C$7)/100</f>
        <v>0.01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ALG</v>
      </c>
      <c r="H30" s="200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2</v>
      </c>
      <c r="I30" s="218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15</v>
      </c>
      <c r="J30" s="202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2</v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Hildenbrandia rivularis</v>
      </c>
      <c r="L30" s="220"/>
      <c r="M30" s="220"/>
      <c r="N30" s="220"/>
      <c r="O30" s="205"/>
      <c r="P30" s="206" t="n">
        <f aca="false">IF(ISTEXT(H30),"",(B30*$B$7/100)+(C30*$C$7/100))</f>
        <v>0.01</v>
      </c>
      <c r="Q30" s="207" t="n">
        <f aca="false">IF(OR(ISTEXT(H30),P30=0),"",IF(P30&lt;0.1,1,IF(P30&lt;1,2,IF(P30&lt;10,3,IF(P30&lt;50,4,IF(P30&gt;=50,5,""))))))</f>
        <v>1</v>
      </c>
      <c r="R30" s="207" t="n">
        <f aca="false">IF(ISERROR(Q30*I30),0,Q30*I30)</f>
        <v>15</v>
      </c>
      <c r="S30" s="207" t="n">
        <f aca="false">IF(ISERROR(Q30*I30*J30),0,Q30*I30*J30)</f>
        <v>30</v>
      </c>
      <c r="T30" s="221" t="n">
        <f aca="false">IF(ISERROR(Q30*J30),0,Q30*J30)</f>
        <v>2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>HIL.SPX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31</v>
      </c>
      <c r="Z30" s="210"/>
      <c r="AA30" s="211"/>
      <c r="BB30" s="8" t="n">
        <f aca="false">IF(A30="","",1)</f>
        <v>1</v>
      </c>
    </row>
    <row r="31" customFormat="false" ht="12.75" hidden="false" customHeight="false" outlineLevel="0" collapsed="false">
      <c r="A31" s="212"/>
      <c r="B31" s="213"/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5" t="n">
        <f aca="false">IF(D31="",0,VLOOKUP(D31,D$21:D30,1,0))</f>
        <v>0</v>
      </c>
      <c r="F31" s="216" t="n">
        <f aca="false">($B31*$B$7+$C31*$C$7)/100</f>
        <v>0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200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8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2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20"/>
      <c r="M31" s="220"/>
      <c r="N31" s="220"/>
      <c r="O31" s="205"/>
      <c r="P31" s="206" t="str">
        <f aca="false">IF(ISTEXT(H31),"",(B31*$B$7/100)+(C31*$C$7/100))</f>
        <v/>
      </c>
      <c r="Q31" s="207" t="str">
        <f aca="false">IF(OR(ISTEXT(H31),P31=0),"",IF(P31&lt;0.1,1,IF(P31&lt;1,2,IF(P31&lt;10,3,IF(P31&lt;50,4,IF(P31&gt;=50,5,""))))))</f>
        <v/>
      </c>
      <c r="R31" s="207" t="n">
        <f aca="false">IF(ISERROR(Q31*I31),0,Q31*I31)</f>
        <v>0</v>
      </c>
      <c r="S31" s="207" t="n">
        <f aca="false">IF(ISERROR(Q31*I31*J31),0,Q31*I31*J31)</f>
        <v>0</v>
      </c>
      <c r="T31" s="221" t="n">
        <f aca="false">IF(ISERROR(Q31*J31),0,Q31*J31)</f>
        <v>0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10"/>
      <c r="AA31" s="211"/>
      <c r="BB31" s="8" t="str">
        <f aca="false">IF(A31="","",1)</f>
        <v/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80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Cher</v>
      </c>
      <c r="B84" s="246" t="str">
        <f aca="false">C3</f>
        <v>Chambonchard</v>
      </c>
      <c r="C84" s="247" t="n">
        <f aca="false">A4</f>
        <v>40401</v>
      </c>
      <c r="D84" s="248" t="n">
        <f aca="false">IF(ISERROR(SUM($S$23:$S$82)/SUM($T$23:$T$82)),"",SUM($S$23:$S$82)/SUM($T$23:$T$82))</f>
        <v>12.2727272727273</v>
      </c>
      <c r="E84" s="249" t="n">
        <f aca="false">N13</f>
        <v>8</v>
      </c>
      <c r="F84" s="246" t="n">
        <f aca="false">N14</f>
        <v>8</v>
      </c>
      <c r="G84" s="246" t="n">
        <f aca="false">N15</f>
        <v>5</v>
      </c>
      <c r="H84" s="246" t="n">
        <f aca="false">N16</f>
        <v>3</v>
      </c>
      <c r="I84" s="246" t="n">
        <f aca="false">N17</f>
        <v>0</v>
      </c>
      <c r="J84" s="250" t="n">
        <f aca="false">N8</f>
        <v>11.5</v>
      </c>
      <c r="K84" s="248" t="n">
        <f aca="false">N9</f>
        <v>2.97609523657138</v>
      </c>
      <c r="L84" s="249" t="n">
        <f aca="false">N10</f>
        <v>6</v>
      </c>
      <c r="M84" s="249" t="n">
        <f aca="false">N11</f>
        <v>15</v>
      </c>
      <c r="N84" s="248" t="n">
        <f aca="false">O8</f>
        <v>1.375</v>
      </c>
      <c r="O84" s="248" t="n">
        <f aca="false">O9</f>
        <v>0.517549169506766</v>
      </c>
      <c r="P84" s="249" t="n">
        <f aca="false">O10</f>
        <v>1</v>
      </c>
      <c r="Q84" s="249" t="n">
        <f aca="false">O11</f>
        <v>2</v>
      </c>
      <c r="R84" s="251" t="n">
        <f aca="false">F21</f>
        <v>0.08</v>
      </c>
      <c r="S84" s="249" t="n">
        <f aca="false">K11</f>
        <v>0</v>
      </c>
      <c r="T84" s="249" t="n">
        <f aca="false">K12</f>
        <v>6</v>
      </c>
      <c r="U84" s="249" t="n">
        <f aca="false">K13</f>
        <v>2</v>
      </c>
      <c r="V84" s="252" t="n">
        <f aca="false">K14</f>
        <v>0</v>
      </c>
      <c r="W84" s="253" t="n">
        <f aca="false">K15</f>
        <v>0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81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82</v>
      </c>
      <c r="Q87" s="8"/>
      <c r="R87" s="208" t="n">
        <f aca="false">VLOOKUP(MAX($R$23:$R$82),($R$23:$T$82),1,0)</f>
        <v>15</v>
      </c>
      <c r="S87" s="8"/>
      <c r="T87" s="8"/>
      <c r="U87" s="8"/>
    </row>
    <row r="88" customFormat="false" ht="12.75" hidden="true" customHeight="false" outlineLevel="0" collapsed="false">
      <c r="P88" s="8" t="s">
        <v>83</v>
      </c>
      <c r="Q88" s="8"/>
      <c r="R88" s="208" t="n">
        <f aca="false">VLOOKUP((R87),($R$23:$T$82),2,0)</f>
        <v>30</v>
      </c>
      <c r="S88" s="8"/>
      <c r="T88" s="8"/>
      <c r="U88" s="8"/>
    </row>
    <row r="89" customFormat="false" ht="12.75" hidden="true" customHeight="false" outlineLevel="0" collapsed="false">
      <c r="P89" s="8" t="s">
        <v>84</v>
      </c>
      <c r="Q89" s="8"/>
      <c r="R89" s="208" t="n">
        <f aca="false">VLOOKUP((R87),($R$23:$T$82),3,0)</f>
        <v>2</v>
      </c>
      <c r="S89" s="8"/>
    </row>
    <row r="90" customFormat="false" ht="12.75" hidden="true" customHeight="false" outlineLevel="0" collapsed="false">
      <c r="P90" s="8" t="s">
        <v>85</v>
      </c>
      <c r="Q90" s="8"/>
      <c r="R90" s="255" t="n">
        <f aca="false">IF(ISERROR(SUM($S$23:$S$82)/SUM($T$23:$T$82)),"",(SUM($S$23:$S$82)-R88)/(SUM($T$23:$T$82)-R89))</f>
        <v>11.6666666666667</v>
      </c>
      <c r="S90" s="8"/>
    </row>
    <row r="91" customFormat="false" ht="12.75" hidden="true" customHeight="false" outlineLevel="0" collapsed="false">
      <c r="P91" s="207" t="s">
        <v>86</v>
      </c>
      <c r="Q91" s="207"/>
      <c r="R91" s="207" t="str">
        <f aca="false">INDEX('[1]liste reference'!$A$7:$A$906,$S$91)</f>
        <v>LEA.SPX</v>
      </c>
      <c r="S91" s="8" t="n">
        <f aca="false">IF(ISERROR(MATCH($R$93,'[1]liste reference'!$A$7:$A$906,0)),MATCH($R$93,'[1]liste reference'!$B$7:$B$906,0),(MATCH($R$93,'[1]liste reference'!$A$7:$A$906,0)))</f>
        <v>35</v>
      </c>
      <c r="T91" s="244"/>
    </row>
    <row r="92" customFormat="false" ht="12.75" hidden="true" customHeight="false" outlineLevel="0" collapsed="false">
      <c r="P92" s="8" t="s">
        <v>87</v>
      </c>
      <c r="Q92" s="8"/>
      <c r="R92" s="8" t="n">
        <f aca="false">MATCH(R87,$R$23:$R$82,0)</f>
        <v>4</v>
      </c>
      <c r="S92" s="8"/>
    </row>
    <row r="93" customFormat="false" ht="12.75" hidden="true" customHeight="false" outlineLevel="0" collapsed="false">
      <c r="P93" s="207" t="s">
        <v>88</v>
      </c>
      <c r="Q93" s="8"/>
      <c r="R93" s="207" t="str">
        <f aca="false">INDEX($A$23:$A$82,$R$92)</f>
        <v>LEA.SPX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2024-03-13T19:04:48Z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