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05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'04060500'!$A$1:$O$82</definedName>
    <definedName function="false" hidden="false" localSheetId="0" name="Excel_BuiltIn__FilterDatabase" vbProcedure="false">'04060500'!$A$23:$J$84</definedName>
    <definedName function="false" hidden="false" localSheetId="0" name="NOM" vbProcedure="false">'04060500'!$H$1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<sst xmlns="http://schemas.openxmlformats.org/spreadsheetml/2006/main" count="121" uniqueCount="117">
  <si>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</si>
  <si>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</si>
  <si>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</si>
  <si>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Benjamin POUJARDIEU, Yann TRACOL</t>
  </si>
  <si>
    <t xml:space="preserve">conforme AFNOR T90-395 oct. 2003</t>
  </si>
  <si>
    <t xml:space="preserve">le Cher</t>
  </si>
  <si>
    <t xml:space="preserve">CHER à VALLON-EN-SULLY</t>
  </si>
  <si>
    <t xml:space="preserve">04060500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</si>
  <si>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</si>
  <si>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</si>
  <si>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</si>
  <si>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</si>
  <si>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</si>
  <si>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</si>
  <si>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</si>
  <si>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</si>
  <si>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RANPEE</t>
  </si>
  <si>
    <t xml:space="preserve">Faciès dominant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</si>
  <si>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</si>
  <si>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</si>
  <si>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</si>
  <si>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</si>
  <si>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</si>
  <si>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</si>
  <si>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</si>
  <si>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</si>
  <si>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</si>
  <si>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</si>
  <si>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</si>
  <si>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</si>
  <si>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</si>
  <si>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</si>
  <si>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</si>
  <si>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</si>
  <si>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</si>
  <si>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</si>
  <si>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</si>
  <si>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</si>
  <si>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</si>
  <si>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</si>
  <si>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</si>
  <si>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</si>
  <si>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</si>
  <si>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</si>
  <si>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</si>
  <si>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</si>
  <si>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</si>
  <si>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</si>
  <si>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</si>
  <si>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</si>
  <si>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</si>
  <si>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</si>
  <si>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</si>
  <si>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</si>
  <si>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</si>
  <si>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</si>
  <si>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</si>
  <si>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</si>
  <si>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(59,4349999856203 %)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</si>
  <si>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</si>
  <si>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</si>
  <si>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</si>
  <si>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</si>
  <si>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</si>
  <si>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</si>
  <si>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</si>
  <si>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</si>
  <si>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</si>
  <si>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</si>
  <si>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</si>
  <si>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</si>
  <si>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</si>
  <si>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</si>
  <si>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</si>
  <si>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</si>
  <si>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</si>
  <si>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</si>
  <si>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</si>
  <si>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MENAQU</t>
  </si>
  <si>
    <t xml:space="preserve">MYOPAL</t>
  </si>
  <si>
    <t xml:space="preserve">NUPPUM</t>
  </si>
  <si>
    <t xml:space="preserve">Newcod</t>
  </si>
  <si>
    <t xml:space="preserve">Ludwigia palustris</t>
  </si>
  <si>
    <t xml:space="preserve">PHAARU</t>
  </si>
  <si>
    <t xml:space="preserve">FONANT</t>
  </si>
  <si>
    <t xml:space="preserve">RORAMP</t>
  </si>
  <si>
    <t xml:space="preserve">NUPLUT</t>
  </si>
  <si>
    <t xml:space="preserve">OCTFON</t>
  </si>
  <si>
    <t xml:space="preserve">NITMUC</t>
  </si>
  <si>
    <t xml:space="preserve">LYTSAL</t>
  </si>
  <si>
    <t xml:space="preserve">SPAEML</t>
  </si>
  <si>
    <t xml:space="preserve">SPRPOL</t>
  </si>
  <si>
    <t xml:space="preserve">WOLARH</t>
  </si>
  <si>
    <t xml:space="preserve">VAUSPX</t>
  </si>
  <si>
    <t xml:space="preserve">POLSPX</t>
  </si>
  <si>
    <t xml:space="preserve">SOADUL</t>
  </si>
  <si>
    <t xml:space="preserve">POTNAT</t>
  </si>
  <si>
    <t xml:space="preserve">CLASPX</t>
  </si>
  <si>
    <t xml:space="preserve">VALSPI</t>
  </si>
  <si>
    <t xml:space="preserve">LEMMIN</t>
  </si>
  <si>
    <t xml:space="preserve">ELOCAN</t>
  </si>
  <si>
    <t xml:space="preserve">CALPLA</t>
  </si>
  <si>
    <t xml:space="preserve">POTNOD</t>
  </si>
  <si>
    <t xml:space="preserve">MYRSPI</t>
  </si>
  <si>
    <t xml:space="preserve">POTCRI</t>
  </si>
  <si>
    <t xml:space="preserve">CERDEM</t>
  </si>
  <si>
    <t xml:space="preserve">POTPER</t>
  </si>
  <si>
    <t xml:space="preserve">EGEDEN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</si>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</sst>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3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3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3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3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41463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8</v>
      </c>
      <c r="M5" s="52"/>
      <c r="N5" s="53" t="s">
        <v>16</v>
      </c>
      <c r="O5" s="54" t="n">
        <v>7.80952380952381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/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6" t="s">
        <v>24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25</v>
      </c>
      <c r="B8" s="78"/>
      <c r="C8" s="78"/>
      <c r="D8" s="67"/>
      <c r="E8" s="67"/>
      <c r="F8" s="79" t="s">
        <v>26</v>
      </c>
      <c r="G8" s="80"/>
      <c r="H8" s="81"/>
      <c r="I8" s="70"/>
      <c r="J8" s="71"/>
      <c r="K8" s="72"/>
      <c r="L8" s="73"/>
      <c r="M8" s="82" t="s">
        <v>27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5" t="n">
        <v>60</v>
      </c>
      <c r="C9" s="86"/>
      <c r="D9" s="87"/>
      <c r="E9" s="87"/>
      <c r="F9" s="88" t="n">
        <f aca="false">($B9*$B$7+$C9*$C$7)/100</f>
        <v>60</v>
      </c>
      <c r="G9" s="89"/>
      <c r="H9" s="90"/>
      <c r="I9" s="91"/>
      <c r="J9" s="92"/>
      <c r="K9" s="72"/>
      <c r="L9" s="93"/>
      <c r="M9" s="82" t="s">
        <v>29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30</v>
      </c>
      <c r="B10" s="97"/>
      <c r="C10" s="98"/>
      <c r="D10" s="99"/>
      <c r="E10" s="99"/>
      <c r="F10" s="88"/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36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37</v>
      </c>
      <c r="J12" s="120"/>
      <c r="K12" s="114" t="n">
        <f aca="false">COUNTIF($G$23:$G$82,"=ALG")</f>
        <v>0</v>
      </c>
      <c r="L12" s="121"/>
      <c r="M12" s="122"/>
      <c r="N12" s="123" t="s">
        <v>31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38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39</v>
      </c>
      <c r="J13" s="120"/>
      <c r="K13" s="114" t="n">
        <f aca="false">COUNTIF($G$23:$G$82,"=BRm")+COUNTIF($G$23:$G$82,"=BRh")</f>
        <v>0</v>
      </c>
      <c r="L13" s="115"/>
      <c r="M13" s="126" t="s">
        <v>40</v>
      </c>
      <c r="N13" s="127" t="n">
        <f aca="false">COUNTIF(F23:F82,"&gt;0")</f>
        <v>30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44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46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48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49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50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51</v>
      </c>
      <c r="B18" s="144"/>
      <c r="C18" s="145"/>
      <c r="D18" s="110"/>
      <c r="E18" s="146" t="s">
        <v>52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59.4349999856204</v>
      </c>
      <c r="C20" s="165" t="n">
        <f aca="false">SUM(C23:C82)</f>
        <v>0</v>
      </c>
      <c r="D20" s="166"/>
      <c r="E20" s="167" t="s">
        <v>52</v>
      </c>
      <c r="F20" s="168" t="n">
        <f aca="false">($B20*$B$7+$C20*$C$7)/100</f>
        <v>59.4349999856204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54</v>
      </c>
      <c r="R20" s="9"/>
      <c r="S20" s="9"/>
      <c r="T20" s="9"/>
      <c r="U20" s="9"/>
      <c r="V20" s="9"/>
      <c r="W20" s="149" t="s">
        <v>55</v>
      </c>
    </row>
    <row r="21" customFormat="false" ht="12.75" hidden="false" customHeight="false" outlineLevel="0" collapsed="false">
      <c r="A21" s="177" t="s">
        <v>56</v>
      </c>
      <c r="B21" s="178" t="n">
        <f aca="false">B20*B7/100</f>
        <v>59.4349999856204</v>
      </c>
      <c r="C21" s="178" t="n">
        <f aca="false">C20*C7/100</f>
        <v>0</v>
      </c>
      <c r="D21" s="110" t="str">
        <f aca="false">IF(F21=0,"",IF((ABS(F21-F19))&gt;(0.2*F21),CONCATENATE(" rec. par taxa (",F21," %) supérieur à 20 % !"),""))</f>
        <v> rec. par taxa (59,4349999856204 %)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59.4349999856204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57</v>
      </c>
      <c r="R21" s="9"/>
      <c r="S21" s="9"/>
      <c r="T21" s="9"/>
      <c r="U21" s="9"/>
      <c r="V21" s="9"/>
      <c r="W21" s="149" t="s">
        <v>58</v>
      </c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9" t="s">
        <v>73</v>
      </c>
      <c r="Z22" s="9" t="s">
        <v>74</v>
      </c>
      <c r="AA22" s="201" t="s">
        <v>75</v>
      </c>
      <c r="AB22" s="201" t="s">
        <v>76</v>
      </c>
      <c r="AC22" s="201" t="s">
        <v>77</v>
      </c>
    </row>
    <row r="23" customFormat="false" ht="12.75" hidden="false" customHeight="false" outlineLevel="0" collapsed="false">
      <c r="A23" s="202" t="s">
        <v>78</v>
      </c>
      <c r="B23" s="203" t="n">
        <v>0.00999999977648258</v>
      </c>
      <c r="C23" s="204" t="n">
        <v>0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0.00999999977648258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MENAQU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0.00999999977648258</v>
      </c>
      <c r="C24" s="222" t="n">
        <v>0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0.00999999977648258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MYOPAL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0.00999999977648258</v>
      </c>
      <c r="C25" s="222" t="n">
        <v>0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0.00999999977648258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NUPPUM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0.00999999977648258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>No</v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Newcod</v>
      </c>
      <c r="Z26" s="9" t="str">
        <f aca="false">IF(ISERROR(MATCH(A26,,0)),IF(ISERROR(MATCH(A26,,0)),"",(MATCH(A26,,0))),(MATCH(A26,,0)))</f>
        <v/>
      </c>
      <c r="AA26" s="218"/>
      <c r="AB26" s="220" t="s">
        <v>82</v>
      </c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0.00999999977648258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PHAARU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0.00999999977648258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FONANT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0.00999999977648258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0.00999999977648258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RORAMP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0.00999999977648258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0.00999999977648258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NUPLUT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0.00999999977648258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0.00999999977648258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OCTFON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0.00999999977648258</v>
      </c>
      <c r="C32" s="222" t="n">
        <v>0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0.00999999977648258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NITMUC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89</v>
      </c>
      <c r="B33" s="221" t="n">
        <v>0.00999999977648258</v>
      </c>
      <c r="C33" s="222" t="n">
        <v>0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0.00999999977648258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LYTSAL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90</v>
      </c>
      <c r="B34" s="221" t="n">
        <v>0.00999999977648258</v>
      </c>
      <c r="C34" s="222" t="n">
        <v>0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0.00999999977648258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SPAEML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91</v>
      </c>
      <c r="B35" s="221" t="n">
        <v>0.00999999977648258</v>
      </c>
      <c r="C35" s="222" t="n">
        <v>0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0.00999999977648258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SPRPOL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92</v>
      </c>
      <c r="B36" s="221" t="n">
        <v>0.00999999977648258</v>
      </c>
      <c r="C36" s="222" t="n">
        <v>0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0.00999999977648258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WOLARH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93</v>
      </c>
      <c r="B37" s="221" t="n">
        <v>0.00999999977648258</v>
      </c>
      <c r="C37" s="222" t="n">
        <v>0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0.00999999977648258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VAUSPX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94</v>
      </c>
      <c r="B38" s="221" t="n">
        <v>0.00999999977648258</v>
      </c>
      <c r="C38" s="222" t="n">
        <v>0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0.00999999977648258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POLSPX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95</v>
      </c>
      <c r="B39" s="221" t="n">
        <v>0.00999999977648258</v>
      </c>
      <c r="C39" s="222" t="n">
        <v>0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0.00999999977648258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SOADUL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96</v>
      </c>
      <c r="B40" s="221" t="n">
        <v>0.00999999977648258</v>
      </c>
      <c r="C40" s="222" t="n">
        <v>0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0.00999999977648258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POTNAT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 t="s">
        <v>97</v>
      </c>
      <c r="B41" s="221" t="n">
        <v>0.025000000372529</v>
      </c>
      <c r="C41" s="222" t="n">
        <v>0</v>
      </c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0.025000000372529</v>
      </c>
      <c r="G41" s="208" t="str">
        <f aca="false">IF(A41="","",IF(ISERROR(VLOOKUP($A41,,13,0)),IF(ISERROR(VLOOKUP($A41,,12,0)),"    -",VLOOKUP($A41,,12,0)),VLOOKUP($A41,,13,0)))</f>
        <v>    -</v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>CLASPX</v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n">
        <f aca="false">IF(A41="","",1)</f>
        <v>1</v>
      </c>
    </row>
    <row r="42" customFormat="false" ht="12.75" hidden="false" customHeight="false" outlineLevel="0" collapsed="false">
      <c r="A42" s="220" t="s">
        <v>98</v>
      </c>
      <c r="B42" s="221" t="n">
        <v>0.200000002980232</v>
      </c>
      <c r="C42" s="222" t="n">
        <v>0</v>
      </c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0.200000002980232</v>
      </c>
      <c r="G42" s="208" t="str">
        <f aca="false">IF(A42="","",IF(ISERROR(VLOOKUP($A42,,13,0)),IF(ISERROR(VLOOKUP($A42,,12,0)),"    -",VLOOKUP($A42,,12,0)),VLOOKUP($A42,,13,0)))</f>
        <v>    -</v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code non répertorié ou synonyme</v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>VALSPI</v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n">
        <f aca="false">IF(A42="","",1)</f>
        <v>1</v>
      </c>
    </row>
    <row r="43" customFormat="false" ht="12.75" hidden="false" customHeight="false" outlineLevel="0" collapsed="false">
      <c r="A43" s="220" t="s">
        <v>99</v>
      </c>
      <c r="B43" s="221" t="n">
        <v>0.209999993443489</v>
      </c>
      <c r="C43" s="222" t="n">
        <v>0</v>
      </c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0.209999993443489</v>
      </c>
      <c r="G43" s="208" t="str">
        <f aca="false">IF(A43="","",IF(ISERROR(VLOOKUP($A43,,13,0)),IF(ISERROR(VLOOKUP($A43,,12,0)),"    -",VLOOKUP($A43,,12,0)),VLOOKUP($A43,,13,0)))</f>
        <v>    -</v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>code non répertorié ou synonyme</v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>LEMMIN</v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n">
        <f aca="false">IF(A43="","",1)</f>
        <v>1</v>
      </c>
    </row>
    <row r="44" customFormat="false" ht="12.75" hidden="false" customHeight="false" outlineLevel="0" collapsed="false">
      <c r="A44" s="220" t="s">
        <v>100</v>
      </c>
      <c r="B44" s="221" t="n">
        <v>0.5</v>
      </c>
      <c r="C44" s="222" t="n">
        <v>0</v>
      </c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0.5</v>
      </c>
      <c r="G44" s="208" t="str">
        <f aca="false">IF(A44="","",IF(ISERROR(VLOOKUP($A44,,13,0)),IF(ISERROR(VLOOKUP($A44,,12,0)),"    -",VLOOKUP($A44,,12,0)),VLOOKUP($A44,,13,0)))</f>
        <v>    -</v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>code non répertorié ou synonyme</v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>ELOCAN</v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n">
        <f aca="false">IF(A44="","",1)</f>
        <v>1</v>
      </c>
    </row>
    <row r="45" customFormat="false" ht="12.75" hidden="false" customHeight="false" outlineLevel="0" collapsed="false">
      <c r="A45" s="220" t="s">
        <v>101</v>
      </c>
      <c r="B45" s="221" t="n">
        <v>0.519999980926514</v>
      </c>
      <c r="C45" s="222" t="n">
        <v>0</v>
      </c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0.519999980926514</v>
      </c>
      <c r="G45" s="208" t="str">
        <f aca="false">IF(A45="","",IF(ISERROR(VLOOKUP($A45,,13,0)),IF(ISERROR(VLOOKUP($A45,,12,0)),"    -",VLOOKUP($A45,,12,0)),VLOOKUP($A45,,13,0)))</f>
        <v>    -</v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>code non répertorié ou synonyme</v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>CALPLA</v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n">
        <f aca="false">IF(A45="","",1)</f>
        <v>1</v>
      </c>
    </row>
    <row r="46" customFormat="false" ht="12.75" hidden="false" customHeight="false" outlineLevel="0" collapsed="false">
      <c r="A46" s="220" t="s">
        <v>102</v>
      </c>
      <c r="B46" s="221" t="n">
        <v>0.800000011920929</v>
      </c>
      <c r="C46" s="222" t="n">
        <v>0</v>
      </c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0.800000011920929</v>
      </c>
      <c r="G46" s="208" t="str">
        <f aca="false">IF(A46="","",IF(ISERROR(VLOOKUP($A46,,13,0)),IF(ISERROR(VLOOKUP($A46,,12,0)),"    -",VLOOKUP($A46,,12,0)),VLOOKUP($A46,,13,0)))</f>
        <v>    -</v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>code non répertorié ou synonyme</v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>POTNOD</v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n">
        <f aca="false">IF(A46="","",1)</f>
        <v>1</v>
      </c>
    </row>
    <row r="47" customFormat="false" ht="12.75" hidden="false" customHeight="false" outlineLevel="0" collapsed="false">
      <c r="A47" s="220" t="s">
        <v>103</v>
      </c>
      <c r="B47" s="221" t="n">
        <v>2</v>
      </c>
      <c r="C47" s="222" t="n">
        <v>0</v>
      </c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2</v>
      </c>
      <c r="G47" s="208" t="str">
        <f aca="false">IF(A47="","",IF(ISERROR(VLOOKUP($A47,,13,0)),IF(ISERROR(VLOOKUP($A47,,12,0)),"    -",VLOOKUP($A47,,12,0)),VLOOKUP($A47,,13,0)))</f>
        <v>    -</v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>code non répertorié ou synonyme</v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>MYRSPI</v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n">
        <f aca="false">IF(A47="","",1)</f>
        <v>1</v>
      </c>
    </row>
    <row r="48" customFormat="false" ht="12.75" hidden="false" customHeight="false" outlineLevel="0" collapsed="false">
      <c r="A48" s="220" t="s">
        <v>104</v>
      </c>
      <c r="B48" s="221" t="n">
        <v>4</v>
      </c>
      <c r="C48" s="222" t="n">
        <v>0</v>
      </c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4</v>
      </c>
      <c r="G48" s="208" t="str">
        <f aca="false">IF(A48="","",IF(ISERROR(VLOOKUP($A48,,13,0)),IF(ISERROR(VLOOKUP($A48,,12,0)),"    -",VLOOKUP($A48,,12,0)),VLOOKUP($A48,,13,0)))</f>
        <v>    -</v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>code non répertorié ou synonyme</v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>POTCRI</v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n">
        <f aca="false">IF(A48="","",1)</f>
        <v>1</v>
      </c>
    </row>
    <row r="49" customFormat="false" ht="12.75" hidden="false" customHeight="false" outlineLevel="0" collapsed="false">
      <c r="A49" s="220" t="s">
        <v>16</v>
      </c>
      <c r="B49" s="221" t="n">
        <v>6</v>
      </c>
      <c r="C49" s="222" t="n">
        <v>0</v>
      </c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6</v>
      </c>
      <c r="G49" s="208" t="str">
        <f aca="false">IF(A49="","",IF(ISERROR(VLOOKUP($A49,,13,0)),IF(ISERROR(VLOOKUP($A49,,12,0)),"    -",VLOOKUP($A49,,12,0)),VLOOKUP($A49,,13,0)))</f>
        <v>    -</v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>code non répertorié ou synonyme</v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>RANPEE</v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n">
        <f aca="false">IF(A49="","",1)</f>
        <v>1</v>
      </c>
    </row>
    <row r="50" customFormat="false" ht="12.75" hidden="false" customHeight="false" outlineLevel="0" collapsed="false">
      <c r="A50" s="220" t="s">
        <v>105</v>
      </c>
      <c r="B50" s="221" t="n">
        <v>8</v>
      </c>
      <c r="C50" s="222" t="n">
        <v>0</v>
      </c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8</v>
      </c>
      <c r="G50" s="208" t="str">
        <f aca="false">IF(A50="","",IF(ISERROR(VLOOKUP($A50,,13,0)),IF(ISERROR(VLOOKUP($A50,,12,0)),"    -",VLOOKUP($A50,,12,0)),VLOOKUP($A50,,13,0)))</f>
        <v>    -</v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>code non répertorié ou synonyme</v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>CERDEM</v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n">
        <f aca="false">IF(A50="","",1)</f>
        <v>1</v>
      </c>
    </row>
    <row r="51" customFormat="false" ht="12.75" hidden="false" customHeight="false" outlineLevel="0" collapsed="false">
      <c r="A51" s="220" t="s">
        <v>106</v>
      </c>
      <c r="B51" s="221" t="n">
        <v>17</v>
      </c>
      <c r="C51" s="222" t="n">
        <v>0</v>
      </c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17</v>
      </c>
      <c r="G51" s="208" t="str">
        <f aca="false">IF(A51="","",IF(ISERROR(VLOOKUP($A51,,13,0)),IF(ISERROR(VLOOKUP($A51,,12,0)),"    -",VLOOKUP($A51,,12,0)),VLOOKUP($A51,,13,0)))</f>
        <v>    -</v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>code non répertorié ou synonyme</v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>POTPER</v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n">
        <f aca="false">IF(A51="","",1)</f>
        <v>1</v>
      </c>
    </row>
    <row r="52" customFormat="false" ht="12.75" hidden="false" customHeight="false" outlineLevel="0" collapsed="false">
      <c r="A52" s="220" t="s">
        <v>107</v>
      </c>
      <c r="B52" s="221" t="n">
        <v>20</v>
      </c>
      <c r="C52" s="222" t="n">
        <v>0</v>
      </c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20</v>
      </c>
      <c r="G52" s="208" t="str">
        <f aca="false">IF(A52="","",IF(ISERROR(VLOOKUP($A52,,13,0)),IF(ISERROR(VLOOKUP($A52,,12,0)),"    -",VLOOKUP($A52,,12,0)),VLOOKUP($A52,,13,0)))</f>
        <v>    -</v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>code non répertorié ou synonyme</v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>EGEDEN</v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n">
        <f aca="false">IF(A52="","",1)</f>
        <v>1</v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108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le Cher</v>
      </c>
      <c r="B84" s="256" t="str">
        <f aca="false">C3</f>
        <v>CHER à VALLON-EN-SULLY</v>
      </c>
      <c r="C84" s="257" t="n">
        <f aca="false">A4</f>
        <v>41463</v>
      </c>
      <c r="D84" s="258" t="str">
        <f aca="false">IF(ISERROR(SUM($T$23:$T$82)/SUM($U$23:$U$82)),"",SUM($T$23:$T$82)/SUM($U$23:$U$82))</f>
        <v/>
      </c>
      <c r="E84" s="259" t="n">
        <f aca="false">N13</f>
        <v>30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59.4349999856204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109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110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111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112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113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114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115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116</v>
      </c>
      <c r="R93" s="9"/>
      <c r="S93" s="215" t="str">
        <f aca="false">INDEX($A$23:$A$82,$S$92)</f>
        <v>MENAQU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6">
    <cfRule type="expression" priority="28" aboveAverage="0" equalAverage="0" bottom="0" percent="0" rank="0" text="" dxfId="26">
      <formula>ISTEXT($E26)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2024-04-09T21:38:23Z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