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a villefrnche" sheetId="1" state="visible" r:id="rId3"/>
  </sheets>
  <externalReferences>
    <externalReference r:id="rId4"/>
  </externalReferences>
  <definedNames>
    <definedName function="false" hidden="false" localSheetId="0" name="_xlnm.Print_Area" vbProcedure="false">'oeil a villefrnche'!$A$1:$O$82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<sst xmlns="http://schemas.openxmlformats.org/spreadsheetml/2006/main" count="101" uniqueCount="96">
  <si>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</si>
  <si>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</si>
  <si>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</si>
  <si>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Mickael / Coudreuse Julie</t>
  </si>
  <si>
    <t xml:space="preserve">conforme AFNOR T90-395 oct. 2003</t>
  </si>
  <si>
    <t xml:space="preserve">Œil</t>
  </si>
  <si>
    <t xml:space="preserve">Œil a Villefranche d'Allier</t>
  </si>
  <si>
    <t xml:space="preserve">04061400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</si>
  <si>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</si>
  <si>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</si>
  <si>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</si>
  <si>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</si>
  <si>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</si>
  <si>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</si>
  <si>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</si>
  <si>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</si>
  <si>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</si>
  <si>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</si>
  <si>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</si>
  <si>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</si>
  <si>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</si>
  <si>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</si>
  <si>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</si>
  <si>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</si>
  <si>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</si>
  <si>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</si>
  <si>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</si>
  <si>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</si>
  <si>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</si>
  <si>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</si>
  <si>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</si>
  <si>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</si>
  <si>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</si>
  <si>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</si>
  <si>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</si>
  <si>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</si>
  <si>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</si>
  <si>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</si>
  <si>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</si>
  <si>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</si>
  <si>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</si>
  <si>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</si>
  <si>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</si>
  <si>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</si>
  <si>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</si>
  <si>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</si>
  <si>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</si>
  <si>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</si>
  <si>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</si>
  <si>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</si>
  <si>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</si>
  <si>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</si>
  <si>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</si>
  <si>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</si>
  <si>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</si>
  <si>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</si>
  <si>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</si>
  <si>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</si>
  <si>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</si>
  <si>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</si>
  <si>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</si>
  <si>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</si>
  <si>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</si>
  <si>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</si>
  <si>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</si>
  <si>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</si>
  <si>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</si>
  <si>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</si>
  <si>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</si>
  <si>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</si>
  <si>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</si>
  <si>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</si>
  <si>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</si>
  <si>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</si>
  <si>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</si>
  <si>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MELSPX</t>
  </si>
  <si>
    <t xml:space="preserve">VAUSPX</t>
  </si>
  <si>
    <t xml:space="preserve">AMBRIP</t>
  </si>
  <si>
    <t xml:space="preserve">FISCRA</t>
  </si>
  <si>
    <t xml:space="preserve">FONANT</t>
  </si>
  <si>
    <t xml:space="preserve">CALPLA</t>
  </si>
  <si>
    <t xml:space="preserve">GLYFLU</t>
  </si>
  <si>
    <t xml:space="preserve">PHAARU</t>
  </si>
  <si>
    <t xml:space="preserve">POLSPX</t>
  </si>
  <si>
    <t xml:space="preserve">cf.</t>
  </si>
  <si>
    <t xml:space="preserve">polygonum persicaria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</si>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</sst>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10.0869565217391</v>
      </c>
      <c r="M5" s="51"/>
      <c r="N5" s="52" t="s">
        <v>16</v>
      </c>
      <c r="O5" s="53" t="n">
        <v>8.35294117647059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9.6</v>
      </c>
      <c r="O8" s="80" t="n">
        <f aca="false">AVERAGE(J23:J82)</f>
        <v>1.4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4.5</v>
      </c>
      <c r="C9" s="83"/>
      <c r="D9" s="84"/>
      <c r="E9" s="84"/>
      <c r="F9" s="85" t="n">
        <f aca="false">($B9*$B$7+$C9*$C$7)/100</f>
        <v>4.5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3.65756445982539</v>
      </c>
      <c r="O9" s="80" t="n">
        <f aca="false">STDEV(J23:J82)</f>
        <v>0.516397779494322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3</v>
      </c>
      <c r="C12" s="115"/>
      <c r="D12" s="107"/>
      <c r="E12" s="107"/>
      <c r="F12" s="108" t="n">
        <f aca="false">($B12*$B$7+$C12*$C$7)/100</f>
        <v>3</v>
      </c>
      <c r="G12" s="116"/>
      <c r="H12" s="64"/>
      <c r="I12" s="117" t="s">
        <v>37</v>
      </c>
      <c r="J12" s="117"/>
      <c r="K12" s="111" t="n">
        <f aca="false">COUNTIF($G$23:$G$82,"=ALG")</f>
        <v>4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1.4</v>
      </c>
      <c r="C13" s="115"/>
      <c r="D13" s="107"/>
      <c r="E13" s="107"/>
      <c r="F13" s="108" t="n">
        <f aca="false">($B13*$B$7+$C13*$C$7)/100</f>
        <v>1.4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12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10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0.1</v>
      </c>
      <c r="C15" s="130"/>
      <c r="D15" s="107"/>
      <c r="E15" s="107"/>
      <c r="F15" s="108" t="n">
        <f aca="false">($B15*$B$7+$C15*$C$7)/100</f>
        <v>0.1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5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4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4.5</v>
      </c>
      <c r="C17" s="115"/>
      <c r="D17" s="107"/>
      <c r="E17" s="107"/>
      <c r="F17" s="137"/>
      <c r="G17" s="108" t="n">
        <f aca="false">($B17*$B$7+$C17*$C$7)/100</f>
        <v>4.5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4.5</v>
      </c>
      <c r="G19" s="149" t="n">
        <f aca="false">SUM(G16:G18)</f>
        <v>4.5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4.492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4.492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4.492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4.492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12</v>
      </c>
      <c r="S23" s="205" t="n">
        <f aca="false">IF(ISERROR(Q23*I23*J23),0,Q23*I23*J23)</f>
        <v>12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16</v>
      </c>
      <c r="B24" s="211" t="n">
        <v>2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Hildenbrandia rivularis</v>
      </c>
      <c r="E24" s="213" t="e">
        <f aca="false">IF(D24="",,VLOOKUP(D24,D$22:D23,1,0))</f>
        <v>#N/A</v>
      </c>
      <c r="F24" s="214" t="n">
        <f aca="false">($B24*$B$7+$C24*$C$7)/100</f>
        <v>2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Hildenbrandia rivularis</v>
      </c>
      <c r="L24" s="218"/>
      <c r="M24" s="218"/>
      <c r="N24" s="218"/>
      <c r="O24" s="203"/>
      <c r="P24" s="204" t="n">
        <f aca="false">IF(ISTEXT(H24),"",(B24*$B$7/100)+(C24*$C$7/100))</f>
        <v>2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45</v>
      </c>
      <c r="S24" s="205" t="n">
        <f aca="false">IF(ISERROR(Q24*I24*J24),0,Q24*I24*J24)</f>
        <v>90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HILSPX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31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0.0001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3" t="e">
        <f aca="false">IF(D25="",,VLOOKUP(D25,D$22:D24,1,0))</f>
        <v>#N/A</v>
      </c>
      <c r="F25" s="214" t="n">
        <f aca="false">($B25*$B$7+$C25*$C$7)/100</f>
        <v>0.0001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18"/>
      <c r="M25" s="218"/>
      <c r="N25" s="218"/>
      <c r="O25" s="203"/>
      <c r="P25" s="204" t="n">
        <f aca="false">IF(ISTEXT(H25),"",(B25*$B$7/100)+(C25*$C$7/100))</f>
        <v>0.0001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10</v>
      </c>
      <c r="S25" s="205" t="n">
        <f aca="false">IF(ISERROR(Q25*I25*J25),0,Q25*I25*J25)</f>
        <v>10</v>
      </c>
      <c r="T25" s="219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MELSPX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0.5199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3" t="e">
        <f aca="false">IF(D26="",,VLOOKUP(D26,D$22:D25,1,0))</f>
        <v>#N/A</v>
      </c>
      <c r="F26" s="214" t="n">
        <f aca="false">($B26*$B$7+$C26*$C$7)/100</f>
        <v>0.5199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18"/>
      <c r="M26" s="218"/>
      <c r="N26" s="218"/>
      <c r="O26" s="203"/>
      <c r="P26" s="204" t="n">
        <f aca="false">IF(ISTEXT(H26),"",(B26*$B$7/100)+(C26*$C$7/100))</f>
        <v>0.5199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8</v>
      </c>
      <c r="S26" s="205" t="n">
        <f aca="false">IF(ISERROR(Q26*I26*J26),0,Q26*I26*J26)</f>
        <v>8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VAUSPX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0.62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</v>
      </c>
      <c r="E27" s="213" t="e">
        <f aca="false">IF(D27="",,VLOOKUP(D27,D$22:D26,1,0))</f>
        <v>#N/A</v>
      </c>
      <c r="F27" s="214" t="n">
        <f aca="false">($B27*$B$7+$C27*$C$7)/100</f>
        <v>0.62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</v>
      </c>
      <c r="L27" s="218"/>
      <c r="M27" s="218"/>
      <c r="N27" s="218"/>
      <c r="O27" s="203"/>
      <c r="P27" s="204" t="n">
        <f aca="false">IF(ISTEXT(H27),"",(B27*$B$7/100)+(C27*$C$7/100))</f>
        <v>0.62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10</v>
      </c>
      <c r="S27" s="205" t="n">
        <f aca="false">IF(ISERROR(Q27*I27*J27),0,Q27*I27*J27)</f>
        <v>20</v>
      </c>
      <c r="T27" s="219" t="n">
        <f aca="false">IF(ISERROR(Q27*J27),0,Q27*J27)</f>
        <v>4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AMBRIP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Fissidens crassipes</v>
      </c>
      <c r="E28" s="213" t="e">
        <f aca="false">IF(D28="",,VLOOKUP(D28,D$22:D27,1,0))</f>
        <v>#N/A</v>
      </c>
      <c r="F28" s="214" t="n">
        <f aca="false">($B28*$B$7+$C28*$C$7)/100</f>
        <v>0.001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Fissidens crassipes</v>
      </c>
      <c r="L28" s="218"/>
      <c r="M28" s="218"/>
      <c r="N28" s="218"/>
      <c r="O28" s="203"/>
      <c r="P28" s="204" t="n">
        <f aca="false">IF(ISTEXT(H28),"",(B28*$B$7/100)+(C28*$C$7/100))</f>
        <v>0.001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24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FISCRA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198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0.8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Fontinalis antipyretica</v>
      </c>
      <c r="E29" s="213" t="e">
        <f aca="false">IF(D29="",,VLOOKUP(D29,D$22:D28,1,0))</f>
        <v>#N/A</v>
      </c>
      <c r="F29" s="214" t="n">
        <f aca="false">($B29*$B$7+$C29*$C$7)/100</f>
        <v>0.8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Fontinalis antipyretica</v>
      </c>
      <c r="L29" s="218"/>
      <c r="M29" s="218"/>
      <c r="N29" s="218"/>
      <c r="O29" s="203"/>
      <c r="P29" s="204" t="n">
        <f aca="false">IF(ISTEXT(H29),"",(B29*$B$7/100)+(C29*$C$7/100))</f>
        <v>0.8</v>
      </c>
      <c r="Q29" s="205" t="n">
        <f aca="false">IF(OR(ISTEXT(H29),P29=0),"",IF(P29&lt;0.1,1,IF(P29&lt;1,2,IF(P29&lt;10,3,IF(P29&lt;50,4,IF(P29&gt;=50,5,""))))))</f>
        <v>2</v>
      </c>
      <c r="R29" s="205" t="n">
        <f aca="false">IF(ISERROR(Q29*I29),0,Q29*I29)</f>
        <v>20</v>
      </c>
      <c r="S29" s="205" t="n">
        <f aca="false">IF(ISERROR(Q29*I29*J29),0,Q29*I29*J29)</f>
        <v>20</v>
      </c>
      <c r="T29" s="219" t="n">
        <f aca="false">IF(ISERROR(Q29*J29),0,Q29*J29)</f>
        <v>2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FONANT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211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0.02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Callitriche platycarpa</v>
      </c>
      <c r="E30" s="213" t="e">
        <f aca="false">IF(D30="",,VLOOKUP(D30,D$21:D29,1,0))</f>
        <v>#N/A</v>
      </c>
      <c r="F30" s="214" t="n">
        <f aca="false">($B30*$B$7+$C30*$C$7)/100</f>
        <v>0.02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Callitriche platycarpa</v>
      </c>
      <c r="L30" s="218"/>
      <c r="M30" s="218"/>
      <c r="N30" s="218"/>
      <c r="O30" s="203"/>
      <c r="P30" s="204" t="n">
        <f aca="false">IF(ISTEXT(H30),"",(B30*$B$7/100)+(C30*$C$7/100))</f>
        <v>0.02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W30" s="220"/>
      <c r="X30" s="205" t="str">
        <f aca="false">IF(A30="new.cod","NEW.COD",IF(AND((Y30=""),ISTEXT(A30)),A30,IF(Y30="","",INDEX('[1]liste reference'!$A$7:$A$906,Y30))))</f>
        <v>CALPLA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326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Glyceria fluitans</v>
      </c>
      <c r="E31" s="213" t="e">
        <f aca="false">IF(D31="",,VLOOKUP(D31,D$22:D30,1,0))</f>
        <v>#N/A</v>
      </c>
      <c r="F31" s="214" t="n">
        <f aca="false">($B31*$B$7+$C31*$C$7)/100</f>
        <v>0.01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14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Glyceria fluitans</v>
      </c>
      <c r="L31" s="221"/>
      <c r="M31" s="221"/>
      <c r="N31" s="221"/>
      <c r="O31" s="222"/>
      <c r="P31" s="204" t="n">
        <f aca="false">IF(ISTEXT(H31),"",(B31*$B$7/100)+(C31*$C$7/100))</f>
        <v>0.01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14</v>
      </c>
      <c r="S31" s="205" t="n">
        <f aca="false">IF(ISERROR(Q31*I31*J31),0,Q31*I31*J31)</f>
        <v>28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GLYFLU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580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Phalaris arundinacea</v>
      </c>
      <c r="E32" s="213" t="e">
        <f aca="false">IF(D32="",,VLOOKUP(D32,D$22:D31,1,0))</f>
        <v>#N/A</v>
      </c>
      <c r="F32" s="214" t="n">
        <f aca="false">($B32*$B$7+$C32*$C$7)/100</f>
        <v>0.01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Phalaris arundinacea</v>
      </c>
      <c r="L32" s="221"/>
      <c r="M32" s="221"/>
      <c r="N32" s="221"/>
      <c r="O32" s="222"/>
      <c r="P32" s="204" t="n">
        <f aca="false">IF(ISTEXT(H32),"",(B32*$B$7/100)+(C32*$C$7/100))</f>
        <v>0.01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PHAARU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640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0.01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Polygonum sp.</v>
      </c>
      <c r="E33" s="213" t="e">
        <f aca="false">IF(D33="",,VLOOKUP(D33,D$22:D32,1,0))</f>
        <v>#N/A</v>
      </c>
      <c r="F33" s="214" t="n">
        <f aca="false">($B33*$B$7+$C33*$C$7)/100</f>
        <v>0.01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PHg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9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Polygonum sp.</v>
      </c>
      <c r="L33" s="218"/>
      <c r="M33" s="218"/>
      <c r="N33" s="218"/>
      <c r="O33" s="203" t="s">
        <v>84</v>
      </c>
      <c r="P33" s="204" t="n">
        <f aca="false">IF(ISTEXT(H33),"",(B33*$B$7/100)+(C33*$C$7/100))</f>
        <v>0.01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POLSPX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806</v>
      </c>
      <c r="Z33" s="208" t="s">
        <v>84</v>
      </c>
      <c r="AA33" s="209" t="s">
        <v>85</v>
      </c>
      <c r="BB33" s="8" t="n">
        <f aca="false">IF(A33="","",1)</f>
        <v>1</v>
      </c>
    </row>
    <row r="34" customFormat="false" ht="12.75" hidden="false" customHeight="false" outlineLevel="0" collapsed="false">
      <c r="A34" s="210" t="s">
        <v>86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Solanum dulcamara</v>
      </c>
      <c r="E34" s="213" t="e">
        <f aca="false">IF(D34="",,VLOOKUP(D34,D$22:D33,1,0))</f>
        <v>#N/A</v>
      </c>
      <c r="F34" s="223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PHg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9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Solanum dulcamara</v>
      </c>
      <c r="L34" s="218"/>
      <c r="M34" s="218"/>
      <c r="N34" s="218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SOADUL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831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W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W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24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07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IF(D60="",,VLOOKUP(D60,D$22:D53,1,0))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IF(D61="",,VLOOKUP(D61,D$22:D53,1,0))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IF(D63="",,VLOOKUP(D63,D$22:D62,1,0))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Œil</v>
      </c>
      <c r="B84" s="244" t="str">
        <f aca="false">C3</f>
        <v>Œil a Villefranche d'Allier</v>
      </c>
      <c r="C84" s="245" t="n">
        <f aca="false">A4</f>
        <v>40744</v>
      </c>
      <c r="D84" s="246" t="n">
        <f aca="false">IF(ISERROR(SUM($S$23:$S$82)/SUM($T$23:$T$82)),"",SUM($S$23:$S$82)/SUM($T$23:$T$82))</f>
        <v>10.0869565217391</v>
      </c>
      <c r="E84" s="247" t="n">
        <f aca="false">N13</f>
        <v>12</v>
      </c>
      <c r="F84" s="244" t="n">
        <f aca="false">N14</f>
        <v>10</v>
      </c>
      <c r="G84" s="244" t="n">
        <f aca="false">N15</f>
        <v>6</v>
      </c>
      <c r="H84" s="244" t="n">
        <f aca="false">N16</f>
        <v>4</v>
      </c>
      <c r="I84" s="244" t="n">
        <f aca="false">N17</f>
        <v>0</v>
      </c>
      <c r="J84" s="248" t="n">
        <f aca="false">N8</f>
        <v>9.6</v>
      </c>
      <c r="K84" s="246" t="n">
        <f aca="false">N9</f>
        <v>3.65756445982539</v>
      </c>
      <c r="L84" s="247" t="n">
        <f aca="false">N10</f>
        <v>4</v>
      </c>
      <c r="M84" s="247" t="n">
        <f aca="false">N11</f>
        <v>15</v>
      </c>
      <c r="N84" s="246" t="n">
        <f aca="false">O8</f>
        <v>1.4</v>
      </c>
      <c r="O84" s="246" t="n">
        <f aca="false">O9</f>
        <v>0.516397779494322</v>
      </c>
      <c r="P84" s="247" t="n">
        <f aca="false">O10</f>
        <v>1</v>
      </c>
      <c r="Q84" s="247" t="n">
        <f aca="false">O11</f>
        <v>2</v>
      </c>
      <c r="R84" s="249" t="n">
        <f aca="false">F21</f>
        <v>4.492</v>
      </c>
      <c r="S84" s="247" t="n">
        <f aca="false">K11</f>
        <v>0</v>
      </c>
      <c r="T84" s="247" t="n">
        <f aca="false">K12</f>
        <v>4</v>
      </c>
      <c r="U84" s="247" t="n">
        <f aca="false">K13</f>
        <v>3</v>
      </c>
      <c r="V84" s="250" t="n">
        <f aca="false">K14</f>
        <v>0</v>
      </c>
      <c r="W84" s="251" t="n">
        <f aca="false">K15</f>
        <v>5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8.35294117647059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HILSPX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HILSPX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