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JORDANNE" sheetId="1" state="visible" r:id="rId3"/>
  </sheets>
  <externalReferences>
    <externalReference r:id="rId4"/>
  </externalReferences>
  <definedNames>
    <definedName function="false" hidden="false" localSheetId="0" name="_xlnm.Print_Area" vbProcedure="false">JORDANNE!$A$1:$O$81</definedName>
    <definedName function="false" hidden="false" localSheetId="0" name="Excel_BuiltIn__FilterDatabase" vbProcedure="false">JORDANNE!$A$23:$J$83</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<sst xmlns="http://schemas.openxmlformats.org/spreadsheetml/2006/main" count="97" uniqueCount="93">
  <si>
    <t xml:space="preserve">Relevés floristiques aquatiques - IBMR</t>
  </si>
  <si>
    <t xml:space="preserve">GIS Macrophytes - juillet 2006</t>
  </si>
  <si>
    <t xml:space="preserve">ELEA</t>
  </si>
  <si>
    <t xml:space="preserve">A. Mignon, M.L. Wasier</t>
  </si>
  <si>
    <t xml:space="preserve">conforme AFNOR T90-395 oct. 2003</t>
  </si>
  <si>
    <t xml:space="preserve">Jordanne</t>
  </si>
  <si>
    <t xml:space="preserve">Mandailles-saint-Julien</t>
  </si>
  <si>
    <t xml:space="preserve">05065500</t>
  </si>
  <si>
    <t xml:space="preserve">RRéf A.E. Adour Garonne</t>
  </si>
  <si>
    <t xml:space="preserve">Résultats</t>
  </si>
  <si>
    <t xml:space="preserve">Robustesse:</t>
  </si>
  <si>
    <t xml:space="preserve">F. courant</t>
  </si>
  <si>
    <t xml:space="preserve">F. lent</t>
  </si>
  <si>
    <t xml:space="preserve">station</t>
  </si>
  <si>
    <t xml:space="preserve">IBMR:</t>
  </si>
  <si>
    <t xml:space="preserve">JUG.ATR</t>
  </si>
  <si>
    <t xml:space="preserve">Type de faciès</t>
  </si>
  <si>
    <t xml:space="preserve">radier</t>
  </si>
  <si>
    <t xml:space="preserve">autre</t>
  </si>
  <si>
    <t xml:space="preserve">niv. trophique:</t>
  </si>
  <si>
    <t xml:space="preserve">très 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</si>
  <si>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</si>
  <si>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</si>
  <si>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</si>
  <si>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</si>
  <si>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</si>
  <si>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</si>
  <si>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</si>
  <si>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</si>
  <si>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</si>
  <si>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</si>
  <si>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</si>
  <si>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</si>
  <si>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</si>
  <si>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</si>
  <si>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</si>
  <si>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</si>
  <si>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</si>
  <si>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</si>
  <si>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</si>
  <si>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</si>
  <si>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</si>
  <si>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</si>
  <si>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</si>
  <si>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</si>
  <si>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</si>
  <si>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</si>
  <si>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</si>
  <si>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</si>
  <si>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</si>
  <si>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</si>
  <si>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</si>
  <si>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</si>
  <si>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</si>
  <si>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</si>
  <si>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</si>
  <si>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</si>
  <si>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</si>
  <si>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</si>
  <si>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</si>
  <si>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</si>
  <si>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</si>
  <si>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</si>
  <si>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</si>
  <si>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</si>
  <si>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</si>
  <si>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</si>
  <si>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</si>
  <si>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</si>
  <si>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</si>
  <si>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</si>
  <si>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</si>
  <si>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</si>
  <si>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</si>
  <si>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LEA.SPX</t>
  </si>
  <si>
    <t xml:space="preserve">PHO.SPX</t>
  </si>
  <si>
    <t xml:space="preserve">AMB.FLU</t>
  </si>
  <si>
    <t xml:space="preserve">BRA.RIV</t>
  </si>
  <si>
    <t xml:space="preserve">CHI.POL</t>
  </si>
  <si>
    <t xml:space="preserve">FIS.CRA</t>
  </si>
  <si>
    <t xml:space="preserve">FON.ANT</t>
  </si>
  <si>
    <t xml:space="preserve">RHY.RIP</t>
  </si>
  <si>
    <t xml:space="preserve">SCA.UND</t>
  </si>
  <si>
    <t xml:space="preserve">SCS.RIV</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</si>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</sst>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Resultats%20IBMR_lot%2011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UVEZERE"/>
      <sheetName val="BES"/>
      <sheetName val="CHAVANON"/>
      <sheetName val="CORREZE"/>
      <sheetName val="DIEGE"/>
      <sheetName val="DORDOGNE St-Sauves"/>
      <sheetName val="DOUSTRE"/>
      <sheetName val="JORDANNE"/>
      <sheetName val="LOT"/>
      <sheetName val="LUZEGE"/>
      <sheetName val="MARONNE Basteyroux"/>
      <sheetName val="MARONNE Hopital"/>
      <sheetName val="TRUYERE"/>
      <sheetName val="VEZER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39630</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14.5714285714286</v>
      </c>
      <c r="M5" s="51"/>
      <c r="N5" s="52" t="s">
        <v>15</v>
      </c>
      <c r="O5" s="53" t="n">
        <v>13.6551724137931</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55</v>
      </c>
      <c r="C7" s="65" t="n">
        <v>45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AVERAGE(I23:I81)</f>
        <v>14</v>
      </c>
      <c r="O8" s="82" t="n">
        <f aca="false">AVERAGE(J23:J81)</f>
        <v>2.09090909090909</v>
      </c>
      <c r="P8" s="8"/>
      <c r="Q8" s="8"/>
      <c r="R8" s="8"/>
      <c r="S8" s="8"/>
      <c r="T8" s="8"/>
      <c r="U8" s="8"/>
      <c r="V8" s="20"/>
      <c r="W8" s="21"/>
    </row>
    <row r="9" customFormat="false" ht="12.75" hidden="false" customHeight="false" outlineLevel="0" collapsed="false">
      <c r="A9" s="83" t="s">
        <v>28</v>
      </c>
      <c r="B9" s="84" t="n">
        <v>6.2</v>
      </c>
      <c r="C9" s="85" t="n">
        <v>2.3</v>
      </c>
      <c r="D9" s="86"/>
      <c r="E9" s="86"/>
      <c r="F9" s="87" t="n">
        <f aca="false">($B9*$B$7+$C9*$C$7)/100</f>
        <v>4.445</v>
      </c>
      <c r="G9" s="88"/>
      <c r="H9" s="89"/>
      <c r="I9" s="90"/>
      <c r="J9" s="91"/>
      <c r="K9" s="71"/>
      <c r="L9" s="92"/>
      <c r="M9" s="80" t="s">
        <v>29</v>
      </c>
      <c r="N9" s="81" t="n">
        <f aca="false">STDEV(I23:I81)</f>
        <v>2.68328157299975</v>
      </c>
      <c r="O9" s="82" t="n">
        <f aca="false">STDEV(J23:J81)</f>
        <v>0.700649049745371</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MIN(I23:I81)</f>
        <v>10</v>
      </c>
      <c r="O10" s="105" t="n">
        <f aca="false">MIN(J23:J81)</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COUNTIF($G$23:$G$81,"=HET")</f>
        <v>0</v>
      </c>
      <c r="L11" s="114"/>
      <c r="M11" s="103" t="s">
        <v>35</v>
      </c>
      <c r="N11" s="104" t="n">
        <f aca="false">MAX(I23:I81)</f>
        <v>19</v>
      </c>
      <c r="O11" s="105" t="n">
        <f aca="false">MAX(J23:J81)</f>
        <v>3</v>
      </c>
      <c r="P11" s="8"/>
      <c r="Q11" s="8"/>
      <c r="R11" s="8"/>
      <c r="S11" s="8"/>
      <c r="T11" s="8"/>
      <c r="U11" s="8"/>
    </row>
    <row r="12" customFormat="false" ht="12.75" hidden="false" customHeight="false" outlineLevel="0" collapsed="false">
      <c r="A12" s="115" t="s">
        <v>36</v>
      </c>
      <c r="B12" s="116" t="n">
        <v>0.55</v>
      </c>
      <c r="C12" s="117" t="n">
        <v>0.1</v>
      </c>
      <c r="D12" s="109"/>
      <c r="E12" s="109"/>
      <c r="F12" s="110" t="n">
        <f aca="false">($B12*$B$7+$C12*$C$7)/100</f>
        <v>0.3475</v>
      </c>
      <c r="G12" s="118"/>
      <c r="H12" s="66"/>
      <c r="I12" s="119" t="s">
        <v>37</v>
      </c>
      <c r="J12" s="119"/>
      <c r="K12" s="113" t="n">
        <f aca="false">COUNTIF($G$23:$G$81,"=ALG")</f>
        <v>2</v>
      </c>
      <c r="L12" s="120"/>
      <c r="M12" s="121"/>
      <c r="N12" s="122" t="s">
        <v>31</v>
      </c>
      <c r="O12" s="123"/>
      <c r="P12" s="8"/>
      <c r="Q12" s="8"/>
      <c r="R12" s="8"/>
      <c r="S12" s="8"/>
      <c r="T12" s="8"/>
      <c r="U12" s="8"/>
    </row>
    <row r="13" customFormat="false" ht="12.75" hidden="false" customHeight="false" outlineLevel="0" collapsed="false">
      <c r="A13" s="115" t="s">
        <v>38</v>
      </c>
      <c r="B13" s="116" t="n">
        <v>5.65</v>
      </c>
      <c r="C13" s="117" t="n">
        <v>2.2</v>
      </c>
      <c r="D13" s="109"/>
      <c r="E13" s="109"/>
      <c r="F13" s="110" t="n">
        <f aca="false">($B13*$B$7+$C13*$C$7)/100</f>
        <v>4.0975</v>
      </c>
      <c r="G13" s="118"/>
      <c r="H13" s="66"/>
      <c r="I13" s="119" t="s">
        <v>39</v>
      </c>
      <c r="J13" s="119"/>
      <c r="K13" s="113" t="n">
        <f aca="false">COUNTIF($G$23:$G$81,"=BRm")+COUNTIF($G$23:$G$81,"=BRh")</f>
        <v>9</v>
      </c>
      <c r="L13" s="114"/>
      <c r="M13" s="124" t="s">
        <v>40</v>
      </c>
      <c r="N13" s="125" t="n">
        <f aca="false">COUNTIF(F23:F81,"&gt;0")</f>
        <v>11</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COUNTIF($G$23:$G$81,"=PTE")</f>
        <v>0</v>
      </c>
      <c r="L14" s="114"/>
      <c r="M14" s="127" t="s">
        <v>43</v>
      </c>
      <c r="N14" s="128" t="n">
        <f aca="false">COUNTIF($I$23:$I$81,"&gt;-1")</f>
        <v>11</v>
      </c>
      <c r="O14" s="129"/>
      <c r="P14" s="8"/>
      <c r="Q14" s="8"/>
      <c r="R14" s="8"/>
      <c r="S14" s="8"/>
      <c r="T14" s="8"/>
      <c r="U14" s="8"/>
    </row>
    <row r="15" customFormat="false" ht="12.75" hidden="false" customHeight="false" outlineLevel="0" collapsed="false">
      <c r="A15" s="130" t="s">
        <v>44</v>
      </c>
      <c r="B15" s="131"/>
      <c r="C15" s="132"/>
      <c r="D15" s="109"/>
      <c r="E15" s="109"/>
      <c r="F15" s="110" t="n">
        <f aca="false">($B15*$B$7+$C15*$C$7)/100</f>
        <v>0</v>
      </c>
      <c r="G15" s="118"/>
      <c r="H15" s="66"/>
      <c r="I15" s="119" t="s">
        <v>45</v>
      </c>
      <c r="J15" s="119"/>
      <c r="K15" s="113" t="n">
        <f aca="false">(COUNTIF($G$23:$G$81,"=PHy"))+(COUNTIF($G$23:$G$81,"=PHe"))+(COUNTIF($G$23:$G$81,"=PHg"))+(COUNTIF($G$23:$G$81,"=PHx"))</f>
        <v>0</v>
      </c>
      <c r="L15" s="114"/>
      <c r="M15" s="133" t="s">
        <v>46</v>
      </c>
      <c r="N15" s="134" t="n">
        <f aca="false">COUNTIF(J23:J81,"=1")</f>
        <v>2</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COUNTIF(J23:J81,"=2")</f>
        <v>6</v>
      </c>
      <c r="O16" s="135"/>
      <c r="P16" s="8"/>
      <c r="Q16" s="8"/>
      <c r="R16" s="8"/>
      <c r="S16" s="8"/>
      <c r="T16" s="8"/>
      <c r="U16" s="8"/>
    </row>
    <row r="17" customFormat="false" ht="12.75" hidden="false" customHeight="false" outlineLevel="0" collapsed="false">
      <c r="A17" s="115" t="s">
        <v>49</v>
      </c>
      <c r="B17" s="116" t="n">
        <v>6.2</v>
      </c>
      <c r="C17" s="117" t="n">
        <v>2.3</v>
      </c>
      <c r="D17" s="109"/>
      <c r="E17" s="109"/>
      <c r="F17" s="139"/>
      <c r="G17" s="110" t="n">
        <f aca="false">($B17*$B$7+$C17*$C$7)/100</f>
        <v>4.445</v>
      </c>
      <c r="H17" s="66"/>
      <c r="I17" s="119"/>
      <c r="J17" s="119"/>
      <c r="K17" s="138"/>
      <c r="L17" s="114"/>
      <c r="M17" s="133" t="s">
        <v>50</v>
      </c>
      <c r="N17" s="134" t="n">
        <f aca="false">COUNTIF(J23:J81,"=3")</f>
        <v>3</v>
      </c>
      <c r="O17" s="135"/>
      <c r="P17" s="8"/>
      <c r="Q17" s="8"/>
      <c r="R17" s="8"/>
      <c r="S17" s="8"/>
      <c r="T17" s="8"/>
      <c r="U17" s="8"/>
    </row>
    <row r="18" customFormat="false" ht="12.75" hidden="false" customHeight="false" outlineLevel="0" collapsed="false">
      <c r="A18" s="140" t="s">
        <v>51</v>
      </c>
      <c r="B18" s="141"/>
      <c r="C18" s="142"/>
      <c r="D18" s="109"/>
      <c r="E18" s="143" t="s">
        <v>52</v>
      </c>
      <c r="F18" s="139"/>
      <c r="G18" s="110" t="n">
        <f aca="false">($B18*$B$7+$C18*$C$7)/100</f>
        <v>0</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4.445</v>
      </c>
      <c r="G19" s="151" t="n">
        <f aca="false">SUM(G16:G18)</f>
        <v>4.445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53</v>
      </c>
      <c r="B20" s="159" t="n">
        <f aca="false">SUM(B23:B81)</f>
        <v>6.2</v>
      </c>
      <c r="C20" s="160" t="n">
        <f aca="false">SUM(C23:C81)</f>
        <v>2.3</v>
      </c>
      <c r="D20" s="161"/>
      <c r="E20" s="162" t="s">
        <v>52</v>
      </c>
      <c r="F20" s="163" t="n">
        <f aca="false">($B20*$B$7+$C20*$C$7)/100</f>
        <v>4.445</v>
      </c>
      <c r="G20" s="164"/>
      <c r="H20" s="165"/>
      <c r="I20" s="166"/>
      <c r="J20" s="166"/>
      <c r="K20" s="167"/>
      <c r="L20" s="45"/>
      <c r="M20" s="168"/>
      <c r="N20" s="168"/>
      <c r="O20" s="169"/>
      <c r="P20" s="170" t="s">
        <v>54</v>
      </c>
      <c r="Q20" s="8"/>
      <c r="R20" s="8"/>
      <c r="S20" s="8"/>
      <c r="T20" s="8"/>
      <c r="U20" s="8"/>
      <c r="V20" s="145"/>
    </row>
    <row r="21" customFormat="false" ht="12.75" hidden="false" customHeight="false" outlineLevel="0" collapsed="false">
      <c r="A21" s="171" t="s">
        <v>55</v>
      </c>
      <c r="B21" s="172" t="n">
        <f aca="false">B20*B7/100</f>
        <v>3.41</v>
      </c>
      <c r="C21" s="172" t="n">
        <f aca="false">C20*C7/100</f>
        <v>1.035</v>
      </c>
      <c r="D21" s="109" t="str">
        <f aca="false">IF(F21=0,"",IF((ABS(F21-F19))&gt;(0.2*F21),CONCATENATE(" rec. par taxa (",F21," %) supérieur à 20 % !"),""))</f>
        <v/>
      </c>
      <c r="E21" s="173" t="str">
        <f aca="false">IF(F21=0,"",IF((ABS(F21-F19))&gt;(0.2*F21),CONCATENATE("ATTENTION : écart entre rec. par grp (",F19," %) ","et",""),""))</f>
        <v/>
      </c>
      <c r="F21" s="174" t="n">
        <f aca="false">B21+C21</f>
        <v>4.445</v>
      </c>
      <c r="G21" s="175"/>
      <c r="H21" s="109"/>
      <c r="I21" s="176"/>
      <c r="J21" s="176"/>
      <c r="K21" s="177"/>
      <c r="L21" s="177"/>
      <c r="M21" s="178"/>
      <c r="N21" s="178"/>
      <c r="O21" s="179"/>
      <c r="P21" s="180" t="s">
        <v>56</v>
      </c>
      <c r="Q21" s="8"/>
      <c r="R21" s="8"/>
      <c r="S21" s="8"/>
      <c r="T21" s="8"/>
      <c r="U21" s="8"/>
      <c r="V21" s="145"/>
    </row>
    <row r="22" customFormat="false" ht="12.75"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75" hidden="false" customHeight="false" outlineLevel="0" collapsed="false">
      <c r="A23" s="194" t="s">
        <v>74</v>
      </c>
      <c r="B23" s="195" t="n">
        <v>0.5</v>
      </c>
      <c r="C23" s="196" t="n">
        <v>0.05</v>
      </c>
      <c r="D23" s="197" t="str">
        <f aca="false">IF(ISERROR(VLOOKUP($A23,'[1]liste reference'!$A$7:$D$906,2,0)),IF(ISERROR(VLOOKUP($A23,'[1]liste reference'!$B$7:$D$906,1,0)),"",VLOOKUP($A23,'[1]liste reference'!$B$7:$D$906,1,0)),VLOOKUP($A23,'[1]liste reference'!$A$7:$D$906,2,0))</f>
        <v>Lemanea gr. fluviatilis</v>
      </c>
      <c r="E23" s="197" t="e">
        <f aca="false">IF(D23="",0,VLOOKUP(D23,D$22:D22,1,0))</f>
        <v>#N/A</v>
      </c>
      <c r="F23" s="198" t="n">
        <f aca="false">($B23*$B$7+$C23*$C$7)/100</f>
        <v>0.2975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Lemanea gr. fluviatilis</v>
      </c>
      <c r="L23" s="204"/>
      <c r="M23" s="204"/>
      <c r="N23" s="204"/>
      <c r="O23" s="205"/>
      <c r="P23" s="206" t="n">
        <f aca="false">IF(ISTEXT(H23),"",(B23*$B$7/100)+(C23*$C$7/100))</f>
        <v>0.2975</v>
      </c>
      <c r="Q23" s="207" t="n">
        <f aca="false">IF(OR(ISTEXT(H23),P23=0),"",IF(P23&lt;0.1,1,IF(P23&lt;1,2,IF(P23&lt;10,3,IF(P23&lt;50,4,IF(P23&gt;=50,5,""))))))</f>
        <v>2</v>
      </c>
      <c r="R23" s="207" t="n">
        <f aca="false">IF(ISERROR(Q23*I23),0,Q23*I23)</f>
        <v>30</v>
      </c>
      <c r="S23" s="207" t="n">
        <f aca="false">IF(ISERROR(Q23*I23*J23),0,Q23*I23*J23)</f>
        <v>60</v>
      </c>
      <c r="T23" s="207" t="n">
        <f aca="false">IF(ISERROR(Q23*J23),0,Q23*J23)</f>
        <v>4</v>
      </c>
      <c r="U23" s="208" t="str">
        <f aca="false">IF(AND(A23="",F23=0),"",IF(F23=0,"Il manque le(s) % de rec. !",""))</f>
        <v/>
      </c>
      <c r="V23" s="209"/>
      <c r="X23" s="207" t="str">
        <f aca="false">IF(A23="new.cod","NEW.COD",IF(AND((Y23=""),ISTEXT(A23)),A23,IF(Y23="","",INDEX('[1]liste reference'!$A$7:$A$906,Y23))))</f>
        <v>LEA.SPX</v>
      </c>
      <c r="Y23" s="8" t="n">
        <f aca="false">IF(ISERROR(MATCH(A23,'[1]liste reference'!$A$7:$A$906,0)),IF(ISERROR(MATCH(A23,'[1]liste reference'!$B$7:$B$906,0)),"",(MATCH(A23,'[1]liste reference'!$B$7:$B$906,0))),(MATCH(A23,'[1]liste reference'!$A$7:$A$906,0)))</f>
        <v>35</v>
      </c>
      <c r="Z23" s="210"/>
      <c r="AA23" s="211"/>
      <c r="BB23" s="8" t="n">
        <f aca="false">IF(A23="","",1)</f>
        <v>1</v>
      </c>
    </row>
    <row r="24" customFormat="false" ht="12.75" hidden="false" customHeight="false" outlineLevel="0" collapsed="false">
      <c r="A24" s="212" t="s">
        <v>75</v>
      </c>
      <c r="B24" s="213" t="n">
        <v>0.05</v>
      </c>
      <c r="C24" s="214" t="n">
        <v>0.05</v>
      </c>
      <c r="D24" s="215" t="str">
        <f aca="false">IF(ISERROR(VLOOKUP($A24,'[1]liste reference'!$A$7:$D$906,2,0)),IF(ISERROR(VLOOKUP($A24,'[1]liste reference'!$B$7:$D$906,1,0)),"",VLOOKUP($A24,'[1]liste reference'!$B$7:$D$906,1,0)),VLOOKUP($A24,'[1]liste reference'!$A$7:$D$906,2,0))</f>
        <v>Phormidium sp.</v>
      </c>
      <c r="E24" s="215" t="e">
        <f aca="false">IF(D24="",0,VLOOKUP(D24,D$22:D23,1,0))</f>
        <v>#N/A</v>
      </c>
      <c r="F24" s="216" t="n">
        <f aca="false">($B24*$B$7+$C24*$C$7)/100</f>
        <v>0.05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13</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Phormidium sp.</v>
      </c>
      <c r="L24" s="220"/>
      <c r="M24" s="220"/>
      <c r="N24" s="220"/>
      <c r="O24" s="205"/>
      <c r="P24" s="206" t="n">
        <f aca="false">IF(ISTEXT(H24),"",(B24*$B$7/100)+(C24*$C$7/100))</f>
        <v>0.05</v>
      </c>
      <c r="Q24" s="207" t="n">
        <f aca="false">IF(OR(ISTEXT(H24),P24=0),"",IF(P24&lt;0.1,1,IF(P24&lt;1,2,IF(P24&lt;10,3,IF(P24&lt;50,4,IF(P24&gt;=50,5,""))))))</f>
        <v>1</v>
      </c>
      <c r="R24" s="207" t="n">
        <f aca="false">IF(ISERROR(Q24*I24),0,Q24*I24)</f>
        <v>13</v>
      </c>
      <c r="S24" s="207" t="n">
        <f aca="false">IF(ISERROR(Q24*I24*J24),0,Q24*I24*J24)</f>
        <v>26</v>
      </c>
      <c r="T24" s="221" t="n">
        <f aca="false">IF(ISERROR(Q24*J24),0,Q24*J24)</f>
        <v>2</v>
      </c>
      <c r="U24" s="208" t="str">
        <f aca="false">IF(AND(A24="",F24=0),"",IF(F24=0,"Il manque le(s) % de rec. !",""))</f>
        <v/>
      </c>
      <c r="V24" s="209"/>
      <c r="X24" s="207" t="str">
        <f aca="false">IF(A24="new.cod","NEW.COD",IF(AND((Y24=""),ISTEXT(A24)),A24,IF(Y24="","",INDEX('[1]liste reference'!$A$7:$A$906,Y24))))</f>
        <v>PHO.SPX</v>
      </c>
      <c r="Y24" s="8" t="n">
        <f aca="false">IF(ISERROR(MATCH(A24,'[1]liste reference'!$A$7:$A$906,0)),IF(ISERROR(MATCH(A24,'[1]liste reference'!$B$7:$B$906,0)),"",(MATCH(A24,'[1]liste reference'!$B$7:$B$906,0))),(MATCH(A24,'[1]liste reference'!$A$7:$A$906,0)))</f>
        <v>58</v>
      </c>
      <c r="Z24" s="210"/>
      <c r="AA24" s="211"/>
      <c r="BB24" s="8" t="n">
        <f aca="false">IF(A24="","",1)</f>
        <v>1</v>
      </c>
    </row>
    <row r="25" customFormat="false" ht="12.75" hidden="false" customHeight="false" outlineLevel="0" collapsed="false">
      <c r="A25" s="212" t="s">
        <v>76</v>
      </c>
      <c r="B25" s="213" t="n">
        <v>0.5</v>
      </c>
      <c r="C25" s="214" t="n">
        <v>0.05</v>
      </c>
      <c r="D25" s="215" t="str">
        <f aca="false">IF(ISERROR(VLOOKUP($A25,'[1]liste reference'!$A$7:$D$906,2,0)),IF(ISERROR(VLOOKUP($A25,'[1]liste reference'!$B$7:$D$906,1,0)),"",VLOOKUP($A25,'[1]liste reference'!$B$7:$D$906,1,0)),VLOOKUP($A25,'[1]liste reference'!$A$7:$D$906,2,0))</f>
        <v>Amblystegium fluviatile (Hygroamblystegium fluviatile)</v>
      </c>
      <c r="E25" s="215" t="e">
        <f aca="false">IF(D25="",0,VLOOKUP(D25,D$22:D24,1,0))</f>
        <v>#N/A</v>
      </c>
      <c r="F25" s="216" t="n">
        <f aca="false">($B25*$B$7+$C25*$C$7)/100</f>
        <v>0.2975</v>
      </c>
      <c r="G25" s="217" t="str">
        <f aca="false">IF(A25="","",IF(ISERROR(VLOOKUP($A25,'[1]liste reference'!$A$7:$P$906,13,0)),IF(ISERROR(VLOOKUP($A25,'[1]liste reference'!$B$7:$P$906,12,0)),"    -",VLOOKUP($A25,'[1]liste reference'!$B$7:$P$906,12,0)),VLOOKUP($A25,'[1]liste reference'!$A$7:$P$906,13,0)))</f>
        <v>BRm</v>
      </c>
      <c r="H25" s="200" t="n">
        <f aca="false">IF(A25="","x",IF(ISERROR(VLOOKUP($A25,'[1]liste reference'!$A$7:$P$906,14,0)),IF(ISERROR(VLOOKUP($A25,'[1]liste reference'!$B$7:$P$906,13,0)),"x",VLOOKUP($A25,'[1]liste reference'!$B$7:$P$906,13,0)),VLOOKUP($A25,'[1]liste reference'!$A$7:$P$906,14,0)))</f>
        <v>5</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Amblystegium fluviatile (Hygroamblystegium fluviatile)</v>
      </c>
      <c r="L25" s="220"/>
      <c r="M25" s="220"/>
      <c r="N25" s="220"/>
      <c r="O25" s="205"/>
      <c r="P25" s="206" t="n">
        <f aca="false">IF(ISTEXT(H25),"",(B25*$B$7/100)+(C25*$C$7/100))</f>
        <v>0.2975</v>
      </c>
      <c r="Q25" s="207" t="n">
        <f aca="false">IF(OR(ISTEXT(H25),P25=0),"",IF(P25&lt;0.1,1,IF(P25&lt;1,2,IF(P25&lt;10,3,IF(P25&lt;50,4,IF(P25&gt;=50,5,""))))))</f>
        <v>2</v>
      </c>
      <c r="R25" s="207" t="n">
        <f aca="false">IF(ISERROR(Q25*I25),0,Q25*I25)</f>
        <v>22</v>
      </c>
      <c r="S25" s="207" t="n">
        <f aca="false">IF(ISERROR(Q25*I25*J25),0,Q25*I25*J25)</f>
        <v>44</v>
      </c>
      <c r="T25" s="221" t="n">
        <f aca="false">IF(ISERROR(Q25*J25),0,Q25*J25)</f>
        <v>4</v>
      </c>
      <c r="U25" s="208" t="str">
        <f aca="false">IF(AND(A25="",F25=0),"",IF(F25=0,"Il manque le(s) % de rec. !",""))</f>
        <v/>
      </c>
      <c r="V25" s="209"/>
      <c r="X25" s="207" t="str">
        <f aca="false">IF(A25="new.cod","NEW.COD",IF(AND((Y25=""),ISTEXT(A25)),A25,IF(Y25="","",INDEX('[1]liste reference'!$A$7:$A$906,Y25))))</f>
        <v>AMB.FLU</v>
      </c>
      <c r="Y25" s="8" t="n">
        <f aca="false">IF(ISERROR(MATCH(A25,'[1]liste reference'!$A$7:$A$906,0)),IF(ISERROR(MATCH(A25,'[1]liste reference'!$B$7:$B$906,0)),"",(MATCH(A25,'[1]liste reference'!$B$7:$B$906,0))),(MATCH(A25,'[1]liste reference'!$A$7:$A$906,0)))</f>
        <v>148</v>
      </c>
      <c r="Z25" s="210"/>
      <c r="AA25" s="211"/>
      <c r="BB25" s="8" t="n">
        <f aca="false">IF(A25="","",1)</f>
        <v>1</v>
      </c>
    </row>
    <row r="26" customFormat="false" ht="12.75" hidden="false" customHeight="false" outlineLevel="0" collapsed="false">
      <c r="A26" s="212" t="s">
        <v>77</v>
      </c>
      <c r="B26" s="213" t="n">
        <v>1</v>
      </c>
      <c r="C26" s="214"/>
      <c r="D26" s="215" t="str">
        <f aca="false">IF(ISERROR(VLOOKUP($A26,'[1]liste reference'!$A$7:$D$906,2,0)),IF(ISERROR(VLOOKUP($A26,'[1]liste reference'!$B$7:$D$906,1,0)),"",VLOOKUP($A26,'[1]liste reference'!$B$7:$D$906,1,0)),VLOOKUP($A26,'[1]liste reference'!$A$7:$D$906,2,0))</f>
        <v>Brachythecium rivulare</v>
      </c>
      <c r="E26" s="215" t="e">
        <f aca="false">IF(D26="",0,VLOOKUP(D26,D$22:D25,1,0))</f>
        <v>#N/A</v>
      </c>
      <c r="F26" s="216" t="n">
        <f aca="false">($B26*$B$7+$C26*$C$7)/100</f>
        <v>0.55</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Brachythecium rivulare</v>
      </c>
      <c r="L26" s="220"/>
      <c r="M26" s="220"/>
      <c r="N26" s="220"/>
      <c r="O26" s="205"/>
      <c r="P26" s="206" t="n">
        <f aca="false">IF(ISTEXT(H26),"",(B26*$B$7/100)+(C26*$C$7/100))</f>
        <v>0.55</v>
      </c>
      <c r="Q26" s="207" t="n">
        <f aca="false">IF(OR(ISTEXT(H26),P26=0),"",IF(P26&lt;0.1,1,IF(P26&lt;1,2,IF(P26&lt;10,3,IF(P26&lt;50,4,IF(P26&gt;=50,5,""))))))</f>
        <v>2</v>
      </c>
      <c r="R26" s="207" t="n">
        <f aca="false">IF(ISERROR(Q26*I26),0,Q26*I26)</f>
        <v>30</v>
      </c>
      <c r="S26" s="207" t="n">
        <f aca="false">IF(ISERROR(Q26*I26*J26),0,Q26*I26*J26)</f>
        <v>60</v>
      </c>
      <c r="T26" s="221" t="n">
        <f aca="false">IF(ISERROR(Q26*J26),0,Q26*J26)</f>
        <v>4</v>
      </c>
      <c r="U26" s="208" t="str">
        <f aca="false">IF(AND(A26="",F26=0),"",IF(F26=0,"Il manque le(s) % de rec. !",""))</f>
        <v/>
      </c>
      <c r="V26" s="209"/>
      <c r="X26" s="207" t="str">
        <f aca="false">IF(A26="new.cod","NEW.COD",IF(AND((Y26=""),ISTEXT(A26)),A26,IF(Y26="","",INDEX('[1]liste reference'!$A$7:$A$906,Y26))))</f>
        <v>BRA.RIV</v>
      </c>
      <c r="Y26" s="8" t="n">
        <f aca="false">IF(ISERROR(MATCH(A26,'[1]liste reference'!$A$7:$A$906,0)),IF(ISERROR(MATCH(A26,'[1]liste reference'!$B$7:$B$906,0)),"",(MATCH(A26,'[1]liste reference'!$B$7:$B$906,0))),(MATCH(A26,'[1]liste reference'!$A$7:$A$906,0)))</f>
        <v>156</v>
      </c>
      <c r="Z26" s="210"/>
      <c r="AA26" s="211"/>
      <c r="BB26" s="8" t="n">
        <f aca="false">IF(A26="","",1)</f>
        <v>1</v>
      </c>
    </row>
    <row r="27" customFormat="false" ht="12.75" hidden="false" customHeight="false" outlineLevel="0" collapsed="false">
      <c r="A27" s="212" t="s">
        <v>78</v>
      </c>
      <c r="B27" s="213" t="n">
        <v>0.05</v>
      </c>
      <c r="C27" s="214"/>
      <c r="D27" s="215" t="str">
        <f aca="false">IF(ISERROR(VLOOKUP($A27,'[1]liste reference'!$A$7:$D$906,2,0)),IF(ISERROR(VLOOKUP($A27,'[1]liste reference'!$B$7:$D$906,1,0)),"",VLOOKUP($A27,'[1]liste reference'!$B$7:$D$906,1,0)),VLOOKUP($A27,'[1]liste reference'!$A$7:$D$906,2,0))</f>
        <v>Chiloscyphus polyanthos var. polyanthos (C. polyanthos)</v>
      </c>
      <c r="E27" s="215" t="e">
        <f aca="false">IF(D27="",0,VLOOKUP(D27,D$22:D26,1,0))</f>
        <v>#N/A</v>
      </c>
      <c r="F27" s="216" t="n">
        <f aca="false">($B27*$B$7+$C27*$C$7)/100</f>
        <v>0.0275</v>
      </c>
      <c r="G27" s="217" t="str">
        <f aca="false">IF(A27="","",IF(ISERROR(VLOOKUP($A27,'[1]liste reference'!$A$7:$P$906,13,0)),IF(ISERROR(VLOOKUP($A27,'[1]liste reference'!$B$7:$P$906,12,0)),"    -",VLOOKUP($A27,'[1]liste reference'!$B$7:$P$906,12,0)),VLOOKUP($A27,'[1]liste reference'!$A$7:$P$906,13,0)))</f>
        <v>BRh</v>
      </c>
      <c r="H27" s="200" t="n">
        <f aca="false">IF(A27="","x",IF(ISERROR(VLOOKUP($A27,'[1]liste reference'!$A$7:$P$906,14,0)),IF(ISERROR(VLOOKUP($A27,'[1]liste reference'!$B$7:$P$906,13,0)),"x",VLOOKUP($A27,'[1]liste reference'!$B$7:$P$906,13,0)),VLOOKUP($A27,'[1]liste reference'!$A$7:$P$906,14,0)))</f>
        <v>4</v>
      </c>
      <c r="I27" s="218" t="n">
        <f aca="false">IF(ISNUMBER(H27),IF(ISERROR(VLOOKUP($A27,'[1]liste reference'!$A$7:$P$906,3,0)),IF(ISERROR(VLOOKUP($A27,'[1]liste reference'!$B$7:$P$906,2,0)),"",VLOOKUP($A27,'[1]liste reference'!$B$7:$P$906,2,0)),VLOOKUP($A27,'[1]liste reference'!$A$7:$P$906,3,0)),"")</f>
        <v>15</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Chiloscyphus polyanthos var. polyanthos (C. polyanthos)</v>
      </c>
      <c r="L27" s="220"/>
      <c r="M27" s="220"/>
      <c r="N27" s="220"/>
      <c r="O27" s="205"/>
      <c r="P27" s="206" t="n">
        <f aca="false">IF(ISTEXT(H27),"",(B27*$B$7/100)+(C27*$C$7/100))</f>
        <v>0.0275</v>
      </c>
      <c r="Q27" s="207" t="n">
        <f aca="false">IF(OR(ISTEXT(H27),P27=0),"",IF(P27&lt;0.1,1,IF(P27&lt;1,2,IF(P27&lt;10,3,IF(P27&lt;50,4,IF(P27&gt;=50,5,""))))))</f>
        <v>1</v>
      </c>
      <c r="R27" s="207" t="n">
        <f aca="false">IF(ISERROR(Q27*I27),0,Q27*I27)</f>
        <v>15</v>
      </c>
      <c r="S27" s="207" t="n">
        <f aca="false">IF(ISERROR(Q27*I27*J27),0,Q27*I27*J27)</f>
        <v>30</v>
      </c>
      <c r="T27" s="221" t="n">
        <f aca="false">IF(ISERROR(Q27*J27),0,Q27*J27)</f>
        <v>2</v>
      </c>
      <c r="U27" s="208" t="str">
        <f aca="false">IF(AND(A27="",F27=0),"",IF(F27=0,"Il manque le(s) % de rec. !",""))</f>
        <v/>
      </c>
      <c r="V27" s="209"/>
      <c r="X27" s="207" t="str">
        <f aca="false">IF(A27="new.cod","NEW.COD",IF(AND((Y27=""),ISTEXT(A27)),A27,IF(Y27="","",INDEX('[1]liste reference'!$A$7:$A$906,Y27))))</f>
        <v>CHI.POL</v>
      </c>
      <c r="Y27" s="8" t="n">
        <f aca="false">IF(ISERROR(MATCH(A27,'[1]liste reference'!$A$7:$A$906,0)),IF(ISERROR(MATCH(A27,'[1]liste reference'!$B$7:$B$906,0)),"",(MATCH(A27,'[1]liste reference'!$B$7:$B$906,0))),(MATCH(A27,'[1]liste reference'!$A$7:$A$906,0)))</f>
        <v>98</v>
      </c>
      <c r="Z27" s="210"/>
      <c r="AA27" s="211"/>
      <c r="BB27" s="8" t="n">
        <f aca="false">IF(A27="","",1)</f>
        <v>1</v>
      </c>
    </row>
    <row r="28" customFormat="false" ht="12.75" hidden="false" customHeight="false" outlineLevel="0" collapsed="false">
      <c r="A28" s="212" t="s">
        <v>79</v>
      </c>
      <c r="B28" s="213"/>
      <c r="C28" s="214" t="n">
        <v>0.05</v>
      </c>
      <c r="D28" s="215" t="str">
        <f aca="false">IF(ISERROR(VLOOKUP($A28,'[1]liste reference'!$A$7:$D$906,2,0)),IF(ISERROR(VLOOKUP($A28,'[1]liste reference'!$B$7:$D$906,1,0)),"",VLOOKUP($A28,'[1]liste reference'!$B$7:$D$906,1,0)),VLOOKUP($A28,'[1]liste reference'!$A$7:$D$906,2,0))</f>
        <v>Fissidens crassipes</v>
      </c>
      <c r="E28" s="215" t="e">
        <f aca="false">IF(D28="",0,VLOOKUP(D28,D$22:D27,1,0))</f>
        <v>#N/A</v>
      </c>
      <c r="F28" s="216" t="n">
        <f aca="false">($B28*$B$7+$C28*$C$7)/100</f>
        <v>0.0225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Fissidens crassipes</v>
      </c>
      <c r="L28" s="220"/>
      <c r="M28" s="220"/>
      <c r="N28" s="220"/>
      <c r="O28" s="205"/>
      <c r="P28" s="206" t="n">
        <f aca="false">IF(ISTEXT(H28),"",(B28*$B$7/100)+(C28*$C$7/100))</f>
        <v>0.0225</v>
      </c>
      <c r="Q28" s="207" t="n">
        <f aca="false">IF(OR(ISTEXT(H28),P28=0),"",IF(P28&lt;0.1,1,IF(P28&lt;1,2,IF(P28&lt;10,3,IF(P28&lt;50,4,IF(P28&gt;=50,5,""))))))</f>
        <v>1</v>
      </c>
      <c r="R28" s="207" t="n">
        <f aca="false">IF(ISERROR(Q28*I28),0,Q28*I28)</f>
        <v>12</v>
      </c>
      <c r="S28" s="207" t="n">
        <f aca="false">IF(ISERROR(Q28*I28*J28),0,Q28*I28*J28)</f>
        <v>24</v>
      </c>
      <c r="T28" s="221" t="n">
        <f aca="false">IF(ISERROR(Q28*J28),0,Q28*J28)</f>
        <v>2</v>
      </c>
      <c r="U28" s="208" t="str">
        <f aca="false">IF(AND(A28="",F28=0),"",IF(F28=0,"Il manque le(s) % de rec. !",""))</f>
        <v/>
      </c>
      <c r="V28" s="209"/>
      <c r="X28" s="207" t="str">
        <f aca="false">IF(A28="new.cod","NEW.COD",IF(AND((Y28=""),ISTEXT(A28)),A28,IF(Y28="","",INDEX('[1]liste reference'!$A$7:$A$906,Y28))))</f>
        <v>FIS.CRA</v>
      </c>
      <c r="Y28" s="8" t="n">
        <f aca="false">IF(ISERROR(MATCH(A28,'[1]liste reference'!$A$7:$A$906,0)),IF(ISERROR(MATCH(A28,'[1]liste reference'!$B$7:$B$906,0)),"",(MATCH(A28,'[1]liste reference'!$B$7:$B$906,0))),(MATCH(A28,'[1]liste reference'!$A$7:$A$906,0)))</f>
        <v>198</v>
      </c>
      <c r="Z28" s="210"/>
      <c r="AA28" s="211"/>
      <c r="BB28" s="8" t="n">
        <f aca="false">IF(A28="","",1)</f>
        <v>1</v>
      </c>
    </row>
    <row r="29" customFormat="false" ht="12.75" hidden="false" customHeight="false" outlineLevel="0" collapsed="false">
      <c r="A29" s="212" t="s">
        <v>80</v>
      </c>
      <c r="B29" s="213" t="n">
        <v>0.5</v>
      </c>
      <c r="C29" s="214" t="n">
        <v>0.5</v>
      </c>
      <c r="D29" s="215" t="str">
        <f aca="false">IF(ISERROR(VLOOKUP($A29,'[1]liste reference'!$A$7:$D$906,2,0)),IF(ISERROR(VLOOKUP($A29,'[1]liste reference'!$B$7:$D$906,1,0)),"",VLOOKUP($A29,'[1]liste reference'!$B$7:$D$906,1,0)),VLOOKUP($A29,'[1]liste reference'!$A$7:$D$906,2,0))</f>
        <v>Fontinalis antipyretica</v>
      </c>
      <c r="E29" s="215" t="e">
        <f aca="false">IF(D29="",0,VLOOKUP(D29,D$22:D28,1,0))</f>
        <v>#N/A</v>
      </c>
      <c r="F29" s="216" t="n">
        <f aca="false">($B29*$B$7+$C29*$C$7)/100</f>
        <v>0.5</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Fontinalis antipyretica</v>
      </c>
      <c r="L29" s="220"/>
      <c r="M29" s="220"/>
      <c r="N29" s="220"/>
      <c r="O29" s="205"/>
      <c r="P29" s="206" t="n">
        <f aca="false">IF(ISTEXT(H29),"",(B29*$B$7/100)+(C29*$C$7/100))</f>
        <v>0.5</v>
      </c>
      <c r="Q29" s="207" t="n">
        <f aca="false">IF(OR(ISTEXT(H29),P29=0),"",IF(P29&lt;0.1,1,IF(P29&lt;1,2,IF(P29&lt;10,3,IF(P29&lt;50,4,IF(P29&gt;=50,5,""))))))</f>
        <v>2</v>
      </c>
      <c r="R29" s="207" t="n">
        <f aca="false">IF(ISERROR(Q29*I29),0,Q29*I29)</f>
        <v>20</v>
      </c>
      <c r="S29" s="207" t="n">
        <f aca="false">IF(ISERROR(Q29*I29*J29),0,Q29*I29*J29)</f>
        <v>20</v>
      </c>
      <c r="T29" s="221" t="n">
        <f aca="false">IF(ISERROR(Q29*J29),0,Q29*J29)</f>
        <v>2</v>
      </c>
      <c r="U29" s="208" t="str">
        <f aca="false">IF(AND(A29="",F29=0),"",IF(F29=0,"Il manque le(s) % de rec. !",""))</f>
        <v/>
      </c>
      <c r="V29" s="209"/>
      <c r="X29" s="207" t="str">
        <f aca="false">IF(A29="new.cod","NEW.COD",IF(AND((Y29=""),ISTEXT(A29)),A29,IF(Y29="","",INDEX('[1]liste reference'!$A$7:$A$906,Y29))))</f>
        <v>FON.ANT</v>
      </c>
      <c r="Y29" s="8" t="n">
        <f aca="false">IF(ISERROR(MATCH(A29,'[1]liste reference'!$A$7:$A$906,0)),IF(ISERROR(MATCH(A29,'[1]liste reference'!$B$7:$B$906,0)),"",(MATCH(A29,'[1]liste reference'!$B$7:$B$906,0))),(MATCH(A29,'[1]liste reference'!$A$7:$A$906,0)))</f>
        <v>211</v>
      </c>
      <c r="Z29" s="210"/>
      <c r="AA29" s="211"/>
      <c r="BB29" s="8" t="n">
        <f aca="false">IF(A29="","",1)</f>
        <v>1</v>
      </c>
    </row>
    <row r="30" customFormat="false" ht="12.75" hidden="false" customHeight="false" outlineLevel="0" collapsed="false">
      <c r="A30" s="212" t="s">
        <v>15</v>
      </c>
      <c r="B30" s="213" t="n">
        <v>0.5</v>
      </c>
      <c r="C30" s="214" t="n">
        <v>0.05</v>
      </c>
      <c r="D30" s="215" t="str">
        <f aca="false">IF(ISERROR(VLOOKUP($A30,'[1]liste reference'!$A$7:$D$906,2,0)),IF(ISERROR(VLOOKUP($A30,'[1]liste reference'!$B$7:$D$906,1,0)),"",VLOOKUP($A30,'[1]liste reference'!$B$7:$D$906,1,0)),VLOOKUP($A30,'[1]liste reference'!$A$7:$D$906,2,0))</f>
        <v>Jungermannia atrovirens (Solenostoma triste)</v>
      </c>
      <c r="E30" s="215" t="e">
        <f aca="false">IF(D30="",0,VLOOKUP(D30,D$21:D29,1,0))</f>
        <v>#N/A</v>
      </c>
      <c r="F30" s="216" t="n">
        <f aca="false">($B30*$B$7+$C30*$C$7)/100</f>
        <v>0.2975</v>
      </c>
      <c r="G30" s="217" t="str">
        <f aca="false">IF(A30="","",IF(ISERROR(VLOOKUP($A30,'[1]liste reference'!$A$7:$P$906,13,0)),IF(ISERROR(VLOOKUP($A30,'[1]liste reference'!$B$7:$P$906,12,0)),"    -",VLOOKUP($A30,'[1]liste reference'!$B$7:$P$906,12,0)),VLOOKUP($A30,'[1]liste reference'!$A$7:$P$906,13,0)))</f>
        <v>BRh</v>
      </c>
      <c r="H30" s="200" t="n">
        <f aca="false">IF(A30="","x",IF(ISERROR(VLOOKUP($A30,'[1]liste reference'!$A$7:$P$906,14,0)),IF(ISERROR(VLOOKUP($A30,'[1]liste reference'!$B$7:$P$906,13,0)),"x",VLOOKUP($A30,'[1]liste reference'!$B$7:$P$906,13,0)),VLOOKUP($A30,'[1]liste reference'!$A$7:$P$906,14,0)))</f>
        <v>4</v>
      </c>
      <c r="I30" s="218" t="n">
        <f aca="false">IF(ISNUMBER(H30),IF(ISERROR(VLOOKUP($A30,'[1]liste reference'!$A$7:$P$906,3,0)),IF(ISERROR(VLOOKUP($A30,'[1]liste reference'!$B$7:$P$906,2,0)),"",VLOOKUP($A30,'[1]liste reference'!$B$7:$P$906,2,0)),VLOOKUP($A30,'[1]liste reference'!$A$7:$P$906,3,0)),"")</f>
        <v>19</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Jungermannia atrovirens (Solenostoma triste)</v>
      </c>
      <c r="L30" s="220"/>
      <c r="M30" s="220"/>
      <c r="N30" s="220"/>
      <c r="O30" s="205"/>
      <c r="P30" s="206" t="n">
        <f aca="false">IF(ISTEXT(H30),"",(B30*$B$7/100)+(C30*$C$7/100))</f>
        <v>0.2975</v>
      </c>
      <c r="Q30" s="207" t="n">
        <f aca="false">IF(OR(ISTEXT(H30),P30=0),"",IF(P30&lt;0.1,1,IF(P30&lt;1,2,IF(P30&lt;10,3,IF(P30&lt;50,4,IF(P30&gt;=50,5,""))))))</f>
        <v>2</v>
      </c>
      <c r="R30" s="207" t="n">
        <f aca="false">IF(ISERROR(Q30*I30),0,Q30*I30)</f>
        <v>38</v>
      </c>
      <c r="S30" s="207" t="n">
        <f aca="false">IF(ISERROR(Q30*I30*J30),0,Q30*I30*J30)</f>
        <v>114</v>
      </c>
      <c r="T30" s="221" t="n">
        <f aca="false">IF(ISERROR(Q30*J30),0,Q30*J30)</f>
        <v>6</v>
      </c>
      <c r="U30" s="208" t="str">
        <f aca="false">IF(AND(A30="",F30=0),"",IF(F30=0,"Il manque le(s) % de rec. !",""))</f>
        <v/>
      </c>
      <c r="V30" s="209"/>
      <c r="W30" s="222"/>
      <c r="X30" s="207" t="str">
        <f aca="false">IF(A30="new.cod","NEW.COD",IF(AND((Y30=""),ISTEXT(A30)),A30,IF(Y30="","",INDEX('[1]liste reference'!$A$7:$A$906,Y30))))</f>
        <v>JUG.ATR</v>
      </c>
      <c r="Y30" s="8" t="n">
        <f aca="false">IF(ISERROR(MATCH(A30,'[1]liste reference'!$A$7:$A$906,0)),IF(ISERROR(MATCH(A30,'[1]liste reference'!$B$7:$B$906,0)),"",(MATCH(A30,'[1]liste reference'!$B$7:$B$906,0))),(MATCH(A30,'[1]liste reference'!$A$7:$A$906,0)))</f>
        <v>102</v>
      </c>
      <c r="Z30" s="210"/>
      <c r="AA30" s="211"/>
      <c r="BB30" s="8" t="n">
        <f aca="false">IF(A30="","",1)</f>
        <v>1</v>
      </c>
    </row>
    <row r="31" customFormat="false" ht="12.75" hidden="false" customHeight="false" outlineLevel="0" collapsed="false">
      <c r="A31" s="212" t="s">
        <v>81</v>
      </c>
      <c r="B31" s="213" t="n">
        <v>3</v>
      </c>
      <c r="C31" s="214" t="n">
        <v>1.5</v>
      </c>
      <c r="D31" s="215" t="str">
        <f aca="false">IF(ISERROR(VLOOKUP($A31,'[1]liste reference'!$A$7:$D$906,2,0)),IF(ISERROR(VLOOKUP($A31,'[1]liste reference'!$B$7:$D$906,1,0)),"",VLOOKUP($A31,'[1]liste reference'!$B$7:$D$906,1,0)),VLOOKUP($A31,'[1]liste reference'!$A$7:$D$906,2,0))</f>
        <v>Rhynchostegium riparioides (Platyhypnidium rusciforme)</v>
      </c>
      <c r="E31" s="215" t="e">
        <f aca="false">IF(D31="",0,VLOOKUP(D31,D$22:D30,1,0))</f>
        <v>#N/A</v>
      </c>
      <c r="F31" s="216" t="n">
        <f aca="false">($B31*$B$7+$C31*$C$7)/100</f>
        <v>2.325</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Rhynchostegium riparioides (Platyhypnidium rusciforme)</v>
      </c>
      <c r="L31" s="220"/>
      <c r="M31" s="220"/>
      <c r="N31" s="220"/>
      <c r="O31" s="205"/>
      <c r="P31" s="206" t="n">
        <f aca="false">IF(ISTEXT(H31),"",(B31*$B$7/100)+(C31*$C$7/100))</f>
        <v>2.325</v>
      </c>
      <c r="Q31" s="207" t="n">
        <f aca="false">IF(OR(ISTEXT(H31),P31=0),"",IF(P31&lt;0.1,1,IF(P31&lt;1,2,IF(P31&lt;10,3,IF(P31&lt;50,4,IF(P31&gt;=50,5,""))))))</f>
        <v>3</v>
      </c>
      <c r="R31" s="207" t="n">
        <f aca="false">IF(ISERROR(Q31*I31),0,Q31*I31)</f>
        <v>36</v>
      </c>
      <c r="S31" s="207" t="n">
        <f aca="false">IF(ISERROR(Q31*I31*J31),0,Q31*I31*J31)</f>
        <v>36</v>
      </c>
      <c r="T31" s="221" t="n">
        <f aca="false">IF(ISERROR(Q31*J31),0,Q31*J31)</f>
        <v>3</v>
      </c>
      <c r="U31" s="208" t="str">
        <f aca="false">IF(AND(A31="",F31=0),"",IF(F31=0,"Il manque le(s) % de rec. !",""))</f>
        <v/>
      </c>
      <c r="V31" s="209"/>
      <c r="X31" s="207" t="str">
        <f aca="false">IF(A31="new.cod","NEW.COD",IF(AND((Y31=""),ISTEXT(A31)),A31,IF(Y31="","",INDEX('[1]liste reference'!$A$7:$A$906,Y31))))</f>
        <v>RHY.RIP</v>
      </c>
      <c r="Y31" s="8" t="n">
        <f aca="false">IF(ISERROR(MATCH(A31,'[1]liste reference'!$A$7:$A$906,0)),IF(ISERROR(MATCH(A31,'[1]liste reference'!$B$7:$B$906,0)),"",(MATCH(A31,'[1]liste reference'!$B$7:$B$906,0))),(MATCH(A31,'[1]liste reference'!$A$7:$A$906,0)))</f>
        <v>253</v>
      </c>
      <c r="Z31" s="210"/>
      <c r="AA31" s="211"/>
      <c r="BB31" s="8" t="n">
        <f aca="false">IF(A31="","",1)</f>
        <v>1</v>
      </c>
    </row>
    <row r="32" customFormat="false" ht="12.75" hidden="false" customHeight="false" outlineLevel="0" collapsed="false">
      <c r="A32" s="212" t="s">
        <v>82</v>
      </c>
      <c r="B32" s="213" t="n">
        <v>0.05</v>
      </c>
      <c r="C32" s="214"/>
      <c r="D32" s="215" t="str">
        <f aca="false">IF(ISERROR(VLOOKUP($A32,'[1]liste reference'!$A$7:$D$906,2,0)),IF(ISERROR(VLOOKUP($A32,'[1]liste reference'!$B$7:$D$906,1,0)),"",VLOOKUP($A32,'[1]liste reference'!$B$7:$D$906,1,0)),VLOOKUP($A32,'[1]liste reference'!$A$7:$D$906,2,0))</f>
        <v>Scapania undulata</v>
      </c>
      <c r="E32" s="215" t="e">
        <f aca="false">IF(D32="",0,VLOOKUP(D32,D$22:D31,1,0))</f>
        <v>#N/A</v>
      </c>
      <c r="F32" s="216" t="n">
        <f aca="false">($B32*$B$7+$C32*$C$7)/100</f>
        <v>0.0275</v>
      </c>
      <c r="G32" s="217" t="str">
        <f aca="false">IF(A32="","",IF(ISERROR(VLOOKUP($A32,'[1]liste reference'!$A$7:$P$906,13,0)),IF(ISERROR(VLOOKUP($A32,'[1]liste reference'!$B$7:$P$906,12,0)),"    -",VLOOKUP($A32,'[1]liste reference'!$B$7:$P$906,12,0)),VLOOKUP($A32,'[1]liste reference'!$A$7:$P$906,13,0)))</f>
        <v>BRh</v>
      </c>
      <c r="H32" s="200" t="n">
        <f aca="false">IF(A32="","x",IF(ISERROR(VLOOKUP($A32,'[1]liste reference'!$A$7:$P$906,14,0)),IF(ISERROR(VLOOKUP($A32,'[1]liste reference'!$B$7:$P$906,13,0)),"x",VLOOKUP($A32,'[1]liste reference'!$B$7:$P$906,13,0)),VLOOKUP($A32,'[1]liste reference'!$A$7:$P$906,14,0)))</f>
        <v>4</v>
      </c>
      <c r="I32" s="218" t="n">
        <f aca="false">IF(ISNUMBER(H32),IF(ISERROR(VLOOKUP($A32,'[1]liste reference'!$A$7:$P$906,3,0)),IF(ISERROR(VLOOKUP($A32,'[1]liste reference'!$B$7:$P$906,2,0)),"",VLOOKUP($A32,'[1]liste reference'!$B$7:$P$906,2,0)),VLOOKUP($A32,'[1]liste reference'!$A$7:$P$906,3,0)),"")</f>
        <v>17</v>
      </c>
      <c r="J32" s="202" t="n">
        <f aca="false">IF(ISNUMBER(H32),IF(ISERROR(VLOOKUP($A32,'[1]liste reference'!$A$7:$P$906,4,0)),IF(ISERROR(VLOOKUP($A32,'[1]liste reference'!$B$7:$P$906,3,0)),"",VLOOKUP($A32,'[1]liste reference'!$B$7:$P$906,3,0)),VLOOKUP($A32,'[1]liste reference'!$A$7:$P$906,4,0)),"")</f>
        <v>3</v>
      </c>
      <c r="K32" s="219" t="str">
        <f aca="false">IF(A32="NEW.COD",AA32,IF(ISTEXT($E32),"DEJA SAISI !",IF(A32="","",IF(ISERROR(VLOOKUP($A32,'[1]liste reference'!$A$7:$D$906,2,0)),IF(ISERROR(VLOOKUP($A32,'[1]liste reference'!$B$7:$D$906,1,0)),"code non répertorié ou synonyme",VLOOKUP($A32,'[1]liste reference'!$B$7:$D$906,1,0)),VLOOKUP(A32,'[1]liste reference'!$A$7:$D$906,2,0)))))</f>
        <v>Scapania undulata</v>
      </c>
      <c r="L32" s="223"/>
      <c r="M32" s="223"/>
      <c r="N32" s="223"/>
      <c r="O32" s="224"/>
      <c r="P32" s="206" t="n">
        <f aca="false">IF(ISTEXT(H32),"",(B32*$B$7/100)+(C32*$C$7/100))</f>
        <v>0.0275</v>
      </c>
      <c r="Q32" s="207" t="n">
        <f aca="false">IF(OR(ISTEXT(H32),P32=0),"",IF(P32&lt;0.1,1,IF(P32&lt;1,2,IF(P32&lt;10,3,IF(P32&lt;50,4,IF(P32&gt;=50,5,""))))))</f>
        <v>1</v>
      </c>
      <c r="R32" s="207" t="n">
        <f aca="false">IF(ISERROR(Q32*I32),0,Q32*I32)</f>
        <v>17</v>
      </c>
      <c r="S32" s="207" t="n">
        <f aca="false">IF(ISERROR(Q32*I32*J32),0,Q32*I32*J32)</f>
        <v>51</v>
      </c>
      <c r="T32" s="221" t="n">
        <f aca="false">IF(ISERROR(Q32*J32),0,Q32*J32)</f>
        <v>3</v>
      </c>
      <c r="U32" s="208" t="str">
        <f aca="false">IF(AND(A32="",F32=0),"",IF(F32=0,"Il manque le(s) % de rec. !",""))</f>
        <v/>
      </c>
      <c r="V32" s="209"/>
      <c r="X32" s="207" t="str">
        <f aca="false">IF(A32="new.cod","NEW.COD",IF(AND((Y32=""),ISTEXT(A32)),A32,IF(Y32="","",INDEX('[1]liste reference'!$A$7:$A$906,Y32))))</f>
        <v>SCA.UND</v>
      </c>
      <c r="Y32" s="8" t="n">
        <f aca="false">IF(ISERROR(MATCH(A32,'[1]liste reference'!$A$7:$A$906,0)),IF(ISERROR(MATCH(A32,'[1]liste reference'!$B$7:$B$906,0)),"",(MATCH(A32,'[1]liste reference'!$B$7:$B$906,0))),(MATCH(A32,'[1]liste reference'!$A$7:$A$906,0)))</f>
        <v>145</v>
      </c>
      <c r="Z32" s="210"/>
      <c r="AA32" s="211"/>
      <c r="BB32" s="8" t="n">
        <f aca="false">IF(A32="","",1)</f>
        <v>1</v>
      </c>
    </row>
    <row r="33" customFormat="false" ht="12.75" hidden="false" customHeight="false" outlineLevel="0" collapsed="false">
      <c r="A33" s="212" t="s">
        <v>83</v>
      </c>
      <c r="B33" s="213" t="n">
        <v>0.05</v>
      </c>
      <c r="C33" s="214" t="n">
        <v>0.05</v>
      </c>
      <c r="D33" s="215" t="str">
        <f aca="false">IF(ISERROR(VLOOKUP($A33,'[1]liste reference'!$A$7:$D$906,2,0)),IF(ISERROR(VLOOKUP($A33,'[1]liste reference'!$B$7:$D$906,1,0)),"",VLOOKUP($A33,'[1]liste reference'!$B$7:$D$906,1,0)),VLOOKUP($A33,'[1]liste reference'!$A$7:$D$906,2,0))</f>
        <v>Schistidium rivulare        </v>
      </c>
      <c r="E33" s="215" t="e">
        <f aca="false">IF(D33="",0,VLOOKUP(D33,D$22:D32,1,0))</f>
        <v>#N/A</v>
      </c>
      <c r="F33" s="225" t="n">
        <f aca="false">($B33*$B$7+$C33*$C$7)/100</f>
        <v>0.05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3</v>
      </c>
      <c r="K33" s="219" t="str">
        <f aca="false">IF(A33="NEW.COD",AA33,IF(ISTEXT($E33),"DEJA SAISI !",IF(A33="","",IF(ISERROR(VLOOKUP($A33,'[1]liste reference'!$A$7:$D$906,2,0)),IF(ISERROR(VLOOKUP($A33,'[1]liste reference'!$B$7:$D$906,1,0)),"code non répertorié ou synonyme",VLOOKUP($A33,'[1]liste reference'!$B$7:$D$906,1,0)),VLOOKUP(A33,'[1]liste reference'!$A$7:$D$906,2,0)))))</f>
        <v>Schistidium rivulare        </v>
      </c>
      <c r="L33" s="223"/>
      <c r="M33" s="223"/>
      <c r="N33" s="223"/>
      <c r="O33" s="224"/>
      <c r="P33" s="206" t="n">
        <f aca="false">IF(ISTEXT(H33),"",(B33*$B$7/100)+(C33*$C$7/100))</f>
        <v>0.05</v>
      </c>
      <c r="Q33" s="207" t="n">
        <f aca="false">IF(OR(ISTEXT(H33),P33=0),"",IF(P33&lt;0.1,1,IF(P33&lt;1,2,IF(P33&lt;10,3,IF(P33&lt;50,4,IF(P33&gt;=50,5,""))))))</f>
        <v>1</v>
      </c>
      <c r="R33" s="207" t="n">
        <f aca="false">IF(ISERROR(Q33*I33),0,Q33*I33)</f>
        <v>15</v>
      </c>
      <c r="S33" s="207" t="n">
        <f aca="false">IF(ISERROR(Q33*I33*J33),0,Q33*I33*J33)</f>
        <v>45</v>
      </c>
      <c r="T33" s="221" t="n">
        <f aca="false">IF(ISERROR(Q33*J33),0,Q33*J33)</f>
        <v>3</v>
      </c>
      <c r="U33" s="208" t="str">
        <f aca="false">IF(AND(A33="",F33=0),"",IF(F33=0,"Il manque le(s) % de rec. !",""))</f>
        <v/>
      </c>
      <c r="V33" s="209"/>
      <c r="X33" s="207" t="str">
        <f aca="false">IF(A33="new.cod","NEW.COD",IF(AND((Y33=""),ISTEXT(A33)),A33,IF(Y33="","",INDEX('[1]liste reference'!$A$7:$A$906,Y33))))</f>
        <v>SCS.RIV</v>
      </c>
      <c r="Y33" s="8" t="n">
        <f aca="false">IF(ISERROR(MATCH(A33,'[1]liste reference'!$A$7:$A$906,0)),IF(ISERROR(MATCH(A33,'[1]liste reference'!$B$7:$B$906,0)),"",(MATCH(A33,'[1]liste reference'!$B$7:$B$906,0))),(MATCH(A33,'[1]liste reference'!$A$7:$A$906,0)))</f>
        <v>256</v>
      </c>
      <c r="Z33" s="210"/>
      <c r="AA33" s="211"/>
      <c r="BB33" s="8" t="n">
        <f aca="false">IF(A33="","",1)</f>
        <v>1</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0"/>
      <c r="M34" s="220"/>
      <c r="N34" s="220"/>
      <c r="O34" s="205"/>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W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W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26"/>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09"/>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tru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IF(D75="",0,VLOOKUP(D75,D$22:D58,1,0))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IF(D76="",0,VLOOKUP(D76,D$22:D74,1,0))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IF(D77="",0,VLOOKUP(D77,D$22:D74,1,0))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IF(D78="",0,VLOOKUP(D78,D$22:D74,1,0))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28"/>
      <c r="B81" s="229"/>
      <c r="C81" s="230"/>
      <c r="D81" s="231" t="str">
        <f aca="false">IF(ISERROR(VLOOKUP($A81,'[1]liste reference'!$A$7:$D$906,2,0)),IF(ISERROR(VLOOKUP($A81,'[1]liste reference'!$B$7:$D$906,1,0)),"",VLOOKUP($A81,'[1]liste reference'!$B$7:$D$906,1,0)),VLOOKUP($A81,'[1]liste reference'!$A$7:$D$906,2,0))</f>
        <v/>
      </c>
      <c r="E81" s="232" t="n">
        <f aca="false">IF(D81="",0,VLOOKUP(D81,D$20:D79,1,0))</f>
        <v>0</v>
      </c>
      <c r="F81" s="233" t="n">
        <f aca="false">($B81*$B$7+$C81*$C$7)/100</f>
        <v>0</v>
      </c>
      <c r="G81" s="234"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35" t="str">
        <f aca="false">IF(ISNUMBER(H81),IF(ISERROR(VLOOKUP($A81,'[1]liste reference'!$A$7:$P$906,3,0)),IF(ISERROR(VLOOKUP($A81,'[1]liste reference'!$B$7:$P$906,2,0)),"",VLOOKUP($A81,'[1]liste reference'!$B$7:$P$906,2,0)),VLOOKUP($A81,'[1]liste reference'!$A$7:$P$906,3,0)),"")</f>
        <v/>
      </c>
      <c r="J81" s="235" t="str">
        <f aca="false">IF(ISNUMBER(H81),IF(ISERROR(VLOOKUP($A81,'[1]liste reference'!$A$7:$P$906,4,0)),IF(ISERROR(VLOOKUP($A81,'[1]liste reference'!$B$7:$P$906,3,0)),"",VLOOKUP($A81,'[1]liste reference'!$B$7:$P$906,3,0)),VLOOKUP($A81,'[1]liste reference'!$A$7:$P$906,4,0)),"")</f>
        <v/>
      </c>
      <c r="K81" s="236" t="str">
        <f aca="false">IF(A81="NEW.COD",AA81,IF(ISTEXT($E81),"DEJA SAISI !",IF(A81="","",IF(ISERROR(VLOOKUP($A81,'[1]liste reference'!$A$7:$D$906,2,0)),IF(ISERROR(VLOOKUP($A81,'[1]liste reference'!$B$7:$D$906,1,0)),"code non répertorié ou synonyme",VLOOKUP($A81,'[1]liste reference'!$B$7:$D$906,1,0)),VLOOKUP(A81,'[1]liste reference'!$A$7:$D$906,2,0)))))</f>
        <v/>
      </c>
      <c r="L81" s="237"/>
      <c r="M81" s="237"/>
      <c r="N81" s="237"/>
      <c r="O81" s="238"/>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39"/>
      <c r="W81" s="240"/>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3.8" hidden="true" customHeight="false" outlineLevel="0" collapsed="false">
      <c r="A82" s="241" t="s">
        <v>84</v>
      </c>
      <c r="B82" s="152"/>
      <c r="C82" s="152"/>
      <c r="D82" s="152"/>
      <c r="E82" s="152"/>
      <c r="F82" s="152"/>
      <c r="G82" s="152"/>
      <c r="H82" s="152"/>
      <c r="I82" s="152"/>
      <c r="J82" s="152"/>
      <c r="K82" s="152"/>
      <c r="L82" s="152"/>
      <c r="M82" s="207"/>
      <c r="N82" s="207"/>
      <c r="O82" s="242"/>
      <c r="P82" s="242"/>
      <c r="Q82" s="242"/>
      <c r="R82" s="242"/>
      <c r="S82" s="8"/>
      <c r="T82" s="8"/>
      <c r="U82" s="242"/>
      <c r="V82" s="242"/>
      <c r="W82" s="242"/>
      <c r="X82" s="243"/>
      <c r="Y82" s="243"/>
      <c r="Z82" s="243"/>
      <c r="AA82" s="244"/>
      <c r="AB82" s="244"/>
      <c r="AC82" s="244"/>
    </row>
    <row r="83" customFormat="false" ht="12.75" hidden="true" customHeight="false" outlineLevel="0" collapsed="false">
      <c r="A83" s="245" t="str">
        <f aca="false">A3</f>
        <v>Jordanne</v>
      </c>
      <c r="B83" s="246" t="str">
        <f aca="false">C3</f>
        <v>Mandailles-saint-Julien</v>
      </c>
      <c r="C83" s="247" t="n">
        <f aca="false">A4</f>
        <v>39630</v>
      </c>
      <c r="D83" s="248" t="n">
        <f aca="false">IF(ISERROR(SUM($S$23:$S$81)/SUM($T$23:$T$81)),"",SUM($S$23:$S$81)/SUM($T$23:$T$81))</f>
        <v>14.5714285714286</v>
      </c>
      <c r="E83" s="249" t="n">
        <f aca="false">N13</f>
        <v>11</v>
      </c>
      <c r="F83" s="250" t="n">
        <f aca="false">N14</f>
        <v>11</v>
      </c>
      <c r="G83" s="250" t="n">
        <f aca="false">N15</f>
        <v>2</v>
      </c>
      <c r="H83" s="250" t="n">
        <f aca="false">N16</f>
        <v>6</v>
      </c>
      <c r="I83" s="250" t="n">
        <f aca="false">N17</f>
        <v>3</v>
      </c>
      <c r="J83" s="251" t="n">
        <f aca="false">N8</f>
        <v>14</v>
      </c>
      <c r="K83" s="248" t="n">
        <f aca="false">N9</f>
        <v>2.68328157299975</v>
      </c>
      <c r="L83" s="249" t="n">
        <f aca="false">N10</f>
        <v>10</v>
      </c>
      <c r="M83" s="249" t="n">
        <f aca="false">N11</f>
        <v>19</v>
      </c>
      <c r="N83" s="248" t="n">
        <f aca="false">O8</f>
        <v>2.09090909090909</v>
      </c>
      <c r="O83" s="248" t="n">
        <f aca="false">O9</f>
        <v>0.700649049745371</v>
      </c>
      <c r="P83" s="249" t="n">
        <f aca="false">O10</f>
        <v>1</v>
      </c>
      <c r="Q83" s="249" t="n">
        <f aca="false">O11</f>
        <v>3</v>
      </c>
      <c r="R83" s="252" t="n">
        <f aca="false">F21</f>
        <v>4.445</v>
      </c>
      <c r="S83" s="249" t="n">
        <f aca="false">K11</f>
        <v>0</v>
      </c>
      <c r="T83" s="249" t="n">
        <f aca="false">K12</f>
        <v>2</v>
      </c>
      <c r="U83" s="249" t="n">
        <f aca="false">K13</f>
        <v>9</v>
      </c>
      <c r="V83" s="253" t="n">
        <f aca="false">K14</f>
        <v>0</v>
      </c>
      <c r="W83" s="254" t="n">
        <f aca="false">K15</f>
        <v>0</v>
      </c>
      <c r="Y83" s="227"/>
      <c r="Z83" s="227"/>
      <c r="AA83" s="244"/>
      <c r="AB83" s="244"/>
      <c r="AC83" s="244"/>
    </row>
    <row r="84" customFormat="false" ht="12.75" hidden="true" customHeight="false" outlineLevel="0" collapsed="false">
      <c r="P84" s="8"/>
      <c r="Q84" s="8"/>
      <c r="R84" s="8"/>
      <c r="S84" s="8"/>
      <c r="T84" s="8"/>
      <c r="U84" s="8"/>
    </row>
    <row r="85" customFormat="false" ht="12.75" hidden="true" customHeight="false" outlineLevel="0" collapsed="false">
      <c r="P85" s="255" t="s">
        <v>85</v>
      </c>
      <c r="Q85" s="8"/>
      <c r="R85" s="208"/>
      <c r="S85" s="8"/>
      <c r="T85" s="8"/>
      <c r="U85" s="8"/>
    </row>
    <row r="86" customFormat="false" ht="12.75" hidden="true" customHeight="false" outlineLevel="0" collapsed="false">
      <c r="P86" s="8" t="s">
        <v>86</v>
      </c>
      <c r="Q86" s="8"/>
      <c r="R86" s="208" t="n">
        <f aca="false">VLOOKUP(MAX($R$23:$R$81),($R$23:$T$81),1,0)</f>
        <v>38</v>
      </c>
      <c r="S86" s="8"/>
      <c r="T86" s="8"/>
      <c r="U86" s="8"/>
    </row>
    <row r="87" customFormat="false" ht="12.75" hidden="true" customHeight="false" outlineLevel="0" collapsed="false">
      <c r="P87" s="8" t="s">
        <v>87</v>
      </c>
      <c r="Q87" s="8"/>
      <c r="R87" s="208" t="n">
        <f aca="false">VLOOKUP((R86),($R$23:$T$81),2,0)</f>
        <v>114</v>
      </c>
      <c r="S87" s="8"/>
      <c r="T87" s="8"/>
      <c r="U87" s="8"/>
    </row>
    <row r="88" customFormat="false" ht="12.75" hidden="true" customHeight="false" outlineLevel="0" collapsed="false">
      <c r="P88" s="8" t="s">
        <v>88</v>
      </c>
      <c r="Q88" s="8"/>
      <c r="R88" s="208" t="n">
        <f aca="false">VLOOKUP((R86),($R$23:$T$81),3,0)</f>
        <v>6</v>
      </c>
      <c r="S88" s="8"/>
    </row>
    <row r="89" customFormat="false" ht="12.75" hidden="true" customHeight="false" outlineLevel="0" collapsed="false">
      <c r="P89" s="8" t="s">
        <v>89</v>
      </c>
      <c r="Q89" s="8"/>
      <c r="R89" s="256" t="n">
        <f aca="false">IF(ISERROR(SUM($S$23:$S$81)/SUM($T$23:$T$81)),"",(SUM($S$23:$S$81)-R87)/(SUM($T$23:$T$81)-R88))</f>
        <v>13.6551724137931</v>
      </c>
      <c r="S89" s="8"/>
    </row>
    <row r="90" customFormat="false" ht="12.75" hidden="true" customHeight="false" outlineLevel="0" collapsed="false">
      <c r="P90" s="207" t="s">
        <v>90</v>
      </c>
      <c r="Q90" s="207"/>
      <c r="R90" s="207" t="str">
        <f aca="false">INDEX('[1]liste reference'!$A$7:$A$906,$S$90)</f>
        <v>JUG.ATR</v>
      </c>
      <c r="S90" s="8" t="n">
        <f aca="false">IF(ISERROR(MATCH($R$92,'[1]liste reference'!$A$7:$A$906,0)),MATCH($R$92,'[1]liste reference'!$B$7:$B$906,0),(MATCH($R$92,'[1]liste reference'!$A$7:$A$906,0)))</f>
        <v>102</v>
      </c>
      <c r="T90" s="244"/>
    </row>
    <row r="91" customFormat="false" ht="12.75" hidden="true" customHeight="false" outlineLevel="0" collapsed="false">
      <c r="P91" s="8" t="s">
        <v>91</v>
      </c>
      <c r="Q91" s="8"/>
      <c r="R91" s="8" t="n">
        <f aca="false">MATCH(R86,$R$23:$R$81,0)</f>
        <v>8</v>
      </c>
      <c r="S91" s="8"/>
    </row>
    <row r="92" customFormat="false" ht="12.75" hidden="true" customHeight="false" outlineLevel="0" collapsed="false">
      <c r="P92" s="207" t="s">
        <v>92</v>
      </c>
      <c r="Q92" s="8"/>
      <c r="R92" s="207" t="str">
        <f aca="false">INDEX($A$23:$A$81,$R$91)</f>
        <v>JUG.ATR</v>
      </c>
      <c r="S92" s="8"/>
    </row>
    <row r="93" customFormat="false" ht="12.75" hidden="false" customHeight="false" outlineLevel="0" collapsed="false">
      <c r="R93" s="244"/>
    </row>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2:Y82"/>
  </mergeCells>
  <conditionalFormatting sqref="A23:A81">
    <cfRule type="expression" priority="2" aboveAverage="0" equalAverage="0" bottom="0" percent="0" rank="0" text="" dxfId="0">
      <formula>ISTEXT($E23)</formula>
    </cfRule>
  </conditionalFormatting>
  <conditionalFormatting sqref="H23:J81">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6:O81 K23:K81 O23:O25">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AND($I26="",$J26="")</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1"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1"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1"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1" type="none">
      <formula1>0</formula1>
      <formula2>0</formula2>
    </dataValidation>
    <dataValidation allowBlank="false" error="Veuillez sélectionner Cf. dans la liste déroulante" errorStyle="stop" errorTitle="ATTENTION" operator="between" showDropDown="false" showErrorMessage="true" showInputMessage="false" sqref="Z23:Z81"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2024-03-12T21:15:43Z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