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1" sheetId="1" state="visible" r:id="rId3"/>
  </sheets>
  <externalReferences>
    <externalReference r:id="rId4"/>
  </externalReferences>
  <definedNames>
    <definedName function="false" hidden="false" localSheetId="0" name="Excel_BuiltIn_Print_Area" vbProcedure="false">'61'!$A$1:$O$33</definedName>
    <definedName function="false" hidden="false" localSheetId="0" name="Excel_BuiltIn__FilterDatabase" vbProcedure="false">'61'!$A$23:$J$84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<sst xmlns="http://schemas.openxmlformats.org/spreadsheetml/2006/main" count="104" uniqueCount="98">
  <si>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</si>
  <si>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</si>
  <si>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</si>
  <si>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</si>
  <si>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RANCE</t>
  </si>
  <si>
    <t xml:space="preserve">VITRAC</t>
  </si>
  <si>
    <t xml:space="preserve">05091560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</si>
  <si>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</si>
  <si>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</si>
  <si>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</si>
  <si>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</si>
  <si>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</si>
  <si>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</si>
  <si>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</si>
  <si>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</si>
  <si>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</si>
  <si>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</si>
  <si>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</si>
  <si>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</si>
  <si>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</si>
  <si>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</si>
  <si>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</si>
  <si>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</si>
  <si>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</si>
  <si>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</si>
  <si>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</si>
  <si>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</si>
  <si>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</si>
  <si>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</si>
  <si>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</si>
  <si>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</si>
  <si>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</si>
  <si>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</si>
  <si>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</si>
  <si>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</si>
  <si>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</si>
  <si>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</si>
  <si>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</si>
  <si>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</si>
  <si>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</si>
  <si>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</si>
  <si>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</si>
  <si>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</si>
  <si>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</si>
  <si>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</si>
  <si>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</si>
  <si>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</si>
  <si>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</si>
  <si>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</si>
  <si>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</si>
  <si>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</si>
  <si>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</si>
  <si>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</si>
  <si>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</si>
  <si>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</si>
  <si>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</si>
  <si>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(100 %) et</t>
  </si>
  <si>
    <t xml:space="preserve">rec. pondéré</t>
  </si>
  <si>
    <t xml:space="preserve">voir aussi colonne BB</t>
  </si>
  <si>
    <t xml:space="preserve"> rec. par taxa (7,7665 %)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</si>
  <si>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</si>
  <si>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</si>
  <si>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</si>
  <si>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</si>
  <si>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</si>
  <si>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</si>
  <si>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</si>
  <si>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</si>
  <si>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</si>
  <si>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</si>
  <si>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</si>
  <si>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</si>
  <si>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</si>
  <si>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</si>
  <si>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</si>
  <si>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</si>
  <si>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</si>
  <si>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</si>
  <si>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</si>
  <si>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</si>
  <si>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NOSSPX</t>
  </si>
  <si>
    <t xml:space="preserve">OSCSPX</t>
  </si>
  <si>
    <t xml:space="preserve">VAUSPX</t>
  </si>
  <si>
    <t xml:space="preserve">DERWEB</t>
  </si>
  <si>
    <t xml:space="preserve">CHIPOL</t>
  </si>
  <si>
    <t xml:space="preserve">SCAUND</t>
  </si>
  <si>
    <t xml:space="preserve">AMBFLU</t>
  </si>
  <si>
    <t xml:space="preserve">FISRUF</t>
  </si>
  <si>
    <t xml:space="preserve">FONSQU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</si>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</sst>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3_Mphyt_13.01_ADOUR-LOT3_JMI_calculs_$a_BV%20Lot_A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53"/>
      <sheetName val="54"/>
      <sheetName val="55"/>
      <sheetName val="56"/>
      <sheetName val="61"/>
      <sheetName val="modele"/>
      <sheetName val="liste codes réf"/>
    </sheetNames>
    <sheetDataSet>
      <sheetData sheetId="0"/>
      <sheetData sheetId="1">
        <row r="1">
          <cell r="A1" t="str">
            <v>LISTE DES TAXA AQUATIQUES POTENTIELLEMENT RENCONTRES EN FRANCE</v>
          </cell>
        </row>
        <row r="2">
          <cell r="A2" t="str">
            <v>notes spécifiques et coefficients de sténoécie</v>
          </cell>
        </row>
        <row r="5">
          <cell r="A5" t="str">
            <v>CODE</v>
          </cell>
          <cell r="B5" t="str">
            <v>version 3.1.1 - janvier 2013</v>
          </cell>
        </row>
        <row r="6">
          <cell r="B6" t="str">
            <v>Conforme à la norme NF T9-395 (octobre 23)</v>
          </cell>
        </row>
        <row r="7">
          <cell r="A7" t="str">
            <v>LEPSPX</v>
          </cell>
          <cell r="B7" t="str">
            <v>Batrachospermum sp.</v>
          </cell>
          <cell r="C7">
            <v>16</v>
          </cell>
        </row>
        <row r="7">
          <cell r="E7" t="str">
            <v>(L.) Nees</v>
          </cell>
          <cell r="F7" t="str">
            <v>Enteromorpha compressa (L.) Greville</v>
          </cell>
        </row>
        <row r="7">
          <cell r="M7" t="str">
            <v>LI</v>
          </cell>
          <cell r="N7">
            <v>4</v>
          </cell>
        </row>
        <row r="8">
          <cell r="A8" t="str">
            <v>SPTSPX</v>
          </cell>
          <cell r="B8" t="str">
            <v>Binuclearia sp.</v>
          </cell>
          <cell r="C8">
            <v>13</v>
          </cell>
          <cell r="D8">
            <v>1</v>
          </cell>
          <cell r="E8" t="str">
            <v>Gomont</v>
          </cell>
        </row>
        <row r="8">
          <cell r="M8" t="str">
            <v>LIC</v>
          </cell>
          <cell r="N8">
            <v>4</v>
          </cell>
        </row>
        <row r="9">
          <cell r="B9" t="str">
            <v>Chaetophora sp.</v>
          </cell>
          <cell r="C9">
            <v>12</v>
          </cell>
          <cell r="D9">
            <v>1</v>
          </cell>
          <cell r="E9" t="str">
            <v>(Liebm.) J.Agardh</v>
          </cell>
          <cell r="F9" t="str">
            <v>Agmenellum Bréb.</v>
          </cell>
        </row>
        <row r="9">
          <cell r="M9" t="str">
            <v>LIC</v>
          </cell>
          <cell r="N9">
            <v>4</v>
          </cell>
        </row>
        <row r="10">
          <cell r="A10" t="str">
            <v>ANASPX</v>
          </cell>
          <cell r="B10" t="str">
            <v>Chara aculeolata</v>
          </cell>
          <cell r="C10">
            <v>15</v>
          </cell>
          <cell r="D10">
            <v>2</v>
          </cell>
          <cell r="E10" t="str">
            <v>(Thuret) Kirchner (janthina)</v>
          </cell>
        </row>
        <row r="10">
          <cell r="G10" t="str">
            <v>Nitella opaca (Bruzelius) C.Agardh</v>
          </cell>
        </row>
        <row r="10">
          <cell r="M10" t="str">
            <v>LIC</v>
          </cell>
          <cell r="N10">
            <v>4</v>
          </cell>
        </row>
        <row r="10">
          <cell r="P10" t="str">
            <v>IBMR</v>
          </cell>
        </row>
        <row r="11">
          <cell r="A11" t="str">
            <v>APHSPX</v>
          </cell>
          <cell r="B11" t="str">
            <v>Chara aspera</v>
          </cell>
        </row>
        <row r="11">
          <cell r="E11" t="str">
            <v>Roth</v>
          </cell>
          <cell r="F11" t="str">
            <v>Microcystis flos-aquae (Wittr.) Kirchn.</v>
          </cell>
        </row>
        <row r="11">
          <cell r="M11" t="str">
            <v>LIC</v>
          </cell>
          <cell r="N11">
            <v>4</v>
          </cell>
        </row>
        <row r="12">
          <cell r="A12" t="str">
            <v>AUDSPX</v>
          </cell>
          <cell r="B12" t="str">
            <v>Chara braunii</v>
          </cell>
        </row>
        <row r="12">
          <cell r="D12">
            <v>2</v>
          </cell>
          <cell r="E12" t="str">
            <v>C. Agardh</v>
          </cell>
        </row>
        <row r="12">
          <cell r="G12" t="str">
            <v>Nitella furcata subsp mucronata (A.Braun) R.D.Wood</v>
          </cell>
        </row>
        <row r="12">
          <cell r="M12" t="str">
            <v>BR</v>
          </cell>
          <cell r="N12">
            <v>4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Chara canescens</v>
          </cell>
          <cell r="C13">
            <v>13</v>
          </cell>
          <cell r="D13">
            <v>3</v>
          </cell>
          <cell r="E13" t="str">
            <v>(L.) C.Agardh</v>
          </cell>
          <cell r="F13" t="str">
            <v>Conferva fluviatilis  L.</v>
          </cell>
        </row>
        <row r="13">
          <cell r="M13" t="str">
            <v>BR</v>
          </cell>
          <cell r="N13">
            <v>4</v>
          </cell>
        </row>
        <row r="14">
          <cell r="A14" t="str">
            <v>BATSPX</v>
          </cell>
          <cell r="B14" t="str">
            <v>Chara contraria</v>
          </cell>
        </row>
        <row r="14">
          <cell r="D14">
            <v>2</v>
          </cell>
          <cell r="E14" t="str">
            <v>C. Agardh</v>
          </cell>
        </row>
        <row r="14">
          <cell r="M14" t="str">
            <v>BRh</v>
          </cell>
          <cell r="N14">
            <v>4</v>
          </cell>
        </row>
        <row r="15">
          <cell r="A15" t="str">
            <v>BINSPX</v>
          </cell>
          <cell r="B15" t="str">
            <v>Chara globularis</v>
          </cell>
          <cell r="C15">
            <v>13</v>
          </cell>
        </row>
        <row r="15">
          <cell r="E15" t="str">
            <v>C. Agardh</v>
          </cell>
        </row>
        <row r="15">
          <cell r="M15" t="str">
            <v>BRh</v>
          </cell>
          <cell r="N15">
            <v>4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Chara gymnophylla</v>
          </cell>
          <cell r="C16">
            <v>6</v>
          </cell>
          <cell r="D16">
            <v>2</v>
          </cell>
          <cell r="E16" t="str">
            <v>Meyen</v>
          </cell>
          <cell r="F16" t="str">
            <v>Agmenellum Bréb.</v>
          </cell>
        </row>
        <row r="16">
          <cell r="M16" t="str">
            <v>BRh</v>
          </cell>
          <cell r="N16">
            <v>4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hispida</v>
          </cell>
          <cell r="C17">
            <v>15</v>
          </cell>
        </row>
        <row r="17">
          <cell r="E17" t="str">
            <v>Desmazières</v>
          </cell>
          <cell r="F17" t="str">
            <v>Chara flexilis L.</v>
          </cell>
          <cell r="G17" t="str">
            <v>Nitella opaca (Bruzelius) C.Agardh</v>
          </cell>
        </row>
        <row r="17">
          <cell r="M17" t="str">
            <v>BRh</v>
          </cell>
          <cell r="N17">
            <v>4</v>
          </cell>
        </row>
        <row r="18">
          <cell r="A18" t="str">
            <v>CHAASP</v>
          </cell>
          <cell r="B18" t="str">
            <v>Chara intermedia</v>
          </cell>
        </row>
        <row r="18">
          <cell r="D18">
            <v>2</v>
          </cell>
          <cell r="E18" t="str">
            <v>Kütz. em. Elenkin</v>
          </cell>
          <cell r="F18" t="str">
            <v>Chara gracilis Sm.</v>
          </cell>
        </row>
        <row r="18">
          <cell r="M18" t="str">
            <v>BRh</v>
          </cell>
          <cell r="N18">
            <v>4</v>
          </cell>
        </row>
        <row r="19">
          <cell r="A19" t="str">
            <v>CHABRA</v>
          </cell>
          <cell r="B19" t="str">
            <v>Chara sp.</v>
          </cell>
          <cell r="C19">
            <v>12</v>
          </cell>
          <cell r="D19">
            <v>2</v>
          </cell>
          <cell r="E19" t="str">
            <v>Kützing</v>
          </cell>
          <cell r="F19" t="str">
            <v>Chara mucronata A. Braun</v>
          </cell>
          <cell r="G19" t="str">
            <v>Nitella furcata subsp mucronata (A.Braun) R.D.Wood</v>
          </cell>
        </row>
        <row r="19">
          <cell r="M19" t="str">
            <v>BRh</v>
          </cell>
          <cell r="N19">
            <v>4</v>
          </cell>
        </row>
        <row r="19">
          <cell r="P19" t="str">
            <v>IBMR</v>
          </cell>
        </row>
        <row r="20">
          <cell r="A20" t="str">
            <v>CHACAN</v>
          </cell>
          <cell r="B20" t="str">
            <v>Chara vulgaris</v>
          </cell>
          <cell r="C20">
            <v>18</v>
          </cell>
          <cell r="D20">
            <v>2</v>
          </cell>
          <cell r="E20" t="str">
            <v>Thuret</v>
          </cell>
          <cell r="F20" t="str">
            <v>Chara opaca Bruzelius.</v>
          </cell>
        </row>
        <row r="20">
          <cell r="M20" t="str">
            <v>BRh</v>
          </cell>
          <cell r="N20">
            <v>4</v>
          </cell>
        </row>
        <row r="20">
          <cell r="P20" t="str">
            <v>IBMR</v>
          </cell>
        </row>
        <row r="21">
          <cell r="A21" t="str">
            <v>CHACON</v>
          </cell>
          <cell r="B21" t="str">
            <v>Chlorhormidium sp.</v>
          </cell>
          <cell r="C21">
            <v>3</v>
          </cell>
          <cell r="D21">
            <v>2</v>
          </cell>
          <cell r="E21" t="str">
            <v>Thuret</v>
          </cell>
        </row>
        <row r="21">
          <cell r="M21" t="str">
            <v>BRh</v>
          </cell>
          <cell r="N21">
            <v>4</v>
          </cell>
        </row>
        <row r="22">
          <cell r="A22" t="str">
            <v>CHAGLO</v>
          </cell>
          <cell r="B22" t="str">
            <v>Chlorotylium sp.</v>
          </cell>
        </row>
        <row r="22">
          <cell r="D22">
            <v>1</v>
          </cell>
          <cell r="E22" t="str">
            <v>C. Agardh</v>
          </cell>
          <cell r="F22" t="str">
            <v>Chara tenuissima Desv.</v>
          </cell>
        </row>
        <row r="22">
          <cell r="M22" t="str">
            <v>BRh</v>
          </cell>
          <cell r="N22">
            <v>4</v>
          </cell>
        </row>
        <row r="22">
          <cell r="P22" t="str">
            <v>IBMR</v>
          </cell>
        </row>
        <row r="23">
          <cell r="A23" t="str">
            <v>CHAGYM</v>
          </cell>
          <cell r="B23" t="str">
            <v>Cladophora sp.</v>
          </cell>
          <cell r="C23">
            <v>15</v>
          </cell>
          <cell r="D2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2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3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5"/>
      <c r="I3" s="26"/>
      <c r="J3" s="25"/>
      <c r="K3" s="27" t="s">
        <v>6</v>
      </c>
      <c r="L3" s="28"/>
      <c r="M3" s="29" t="s">
        <v>7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41481</v>
      </c>
      <c r="B4" s="33"/>
      <c r="C4" s="34"/>
      <c r="D4" s="35"/>
      <c r="E4" s="35"/>
      <c r="F4" s="34"/>
      <c r="G4" s="34"/>
      <c r="H4" s="35"/>
      <c r="I4" s="36" t="s">
        <v>8</v>
      </c>
      <c r="J4" s="37"/>
      <c r="K4" s="37"/>
      <c r="L4" s="38"/>
      <c r="M4" s="38"/>
      <c r="N4" s="39" t="s">
        <v>9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14.375</v>
      </c>
      <c r="M5" s="52"/>
      <c r="N5" s="53" t="s">
        <v>15</v>
      </c>
      <c r="O5" s="54" t="n">
        <v>14.6206896551724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45</v>
      </c>
      <c r="C7" s="66" t="n">
        <v>55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n">
        <f aca="false">IF(ISERROR(AVERAGE(I23:I82)),"     -",AVERAGE(I23:I82))</f>
        <v>12.7272727272727</v>
      </c>
      <c r="O8" s="83" t="n">
        <f aca="false">IF(ISERROR(AVERAGE(J23:J82)),"      -",AVERAGE(J23:J82))</f>
        <v>2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17</v>
      </c>
      <c r="C9" s="86" t="n">
        <v>0.1</v>
      </c>
      <c r="D9" s="87"/>
      <c r="E9" s="87"/>
      <c r="F9" s="88" t="n">
        <f aca="false">($B9*$B$7+$C9*$C$7)/100</f>
        <v>7.705</v>
      </c>
      <c r="G9" s="89"/>
      <c r="H9" s="90"/>
      <c r="I9" s="91"/>
      <c r="J9" s="92"/>
      <c r="K9" s="72"/>
      <c r="L9" s="93"/>
      <c r="M9" s="82" t="s">
        <v>29</v>
      </c>
      <c r="N9" s="83" t="n">
        <f aca="false">IF(ISERROR(STDEVP(I23:I82)),"     -",STDEVP(I23:I82))</f>
        <v>3.67029622512479</v>
      </c>
      <c r="O9" s="83" t="n">
        <f aca="false">IF(ISERROR(STDEVP(J23:J82)),"      -",STDEVP(J23:J82))</f>
        <v>0.852802865422442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 t="s">
        <v>31</v>
      </c>
      <c r="C10" s="98" t="s">
        <v>31</v>
      </c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4</v>
      </c>
      <c r="O10" s="105" t="n">
        <f aca="false">MIN(J23:J82)</f>
        <v>1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17</v>
      </c>
      <c r="O11" s="105" t="n">
        <f aca="false">MAX(J23:J82)</f>
        <v>3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 t="n">
        <f aca="false">115/17.1</f>
        <v>6.72514619883041</v>
      </c>
      <c r="C12" s="118" t="n">
        <f aca="false">2/0.13</f>
        <v>15.3846153846154</v>
      </c>
      <c r="D12" s="110"/>
      <c r="E12" s="110"/>
      <c r="F12" s="111" t="n">
        <f aca="false">($B12*$B$7+$C12*$C$7)/100</f>
        <v>11.4878542510121</v>
      </c>
      <c r="G12" s="119"/>
      <c r="H12" s="67"/>
      <c r="I12" s="120" t="s">
        <v>38</v>
      </c>
      <c r="J12" s="120"/>
      <c r="K12" s="114" t="n">
        <f aca="false">COUNTIF($G$23:$G$82,"=ALG")</f>
        <v>4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 t="n">
        <f aca="false">100-B12</f>
        <v>93.2748538011696</v>
      </c>
      <c r="C13" s="118" t="n">
        <f aca="false">C12</f>
        <v>15.3846153846154</v>
      </c>
      <c r="D13" s="110"/>
      <c r="E13" s="110"/>
      <c r="F13" s="111" t="n">
        <f aca="false">($B13*$B$7+$C13*$C$7)/100</f>
        <v>50.4352226720648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6</v>
      </c>
      <c r="L13" s="115"/>
      <c r="M13" s="126" t="s">
        <v>41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 t="n">
        <v>0</v>
      </c>
      <c r="C14" s="118" t="n">
        <f aca="false">100-C12-C13</f>
        <v>69.2307692307692</v>
      </c>
      <c r="D14" s="110"/>
      <c r="E14" s="110"/>
      <c r="F14" s="111" t="n">
        <f aca="false">($B14*$B$7+$C14*$C$7)/100</f>
        <v>38.0769230769231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1</v>
      </c>
      <c r="L14" s="115"/>
      <c r="M14" s="130" t="s">
        <v>44</v>
      </c>
      <c r="N14" s="131" t="n">
        <f aca="false">COUNTIF($I$23:$I$82,"&gt;-1")</f>
        <v>11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 t="n">
        <v>0</v>
      </c>
      <c r="C15" s="135" t="n">
        <v>0</v>
      </c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4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 t="n">
        <v>0</v>
      </c>
      <c r="C16" s="109" t="n">
        <v>0</v>
      </c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3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 t="n">
        <v>100</v>
      </c>
      <c r="C17" s="118" t="n">
        <v>100</v>
      </c>
      <c r="D17" s="110"/>
      <c r="E17" s="110"/>
      <c r="F17" s="142"/>
      <c r="G17" s="111" t="n">
        <f aca="false">($B17*$B$7+$C17*$C$7)/100</f>
        <v>100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4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 t="n">
        <v>0</v>
      </c>
      <c r="C18" s="145" t="n">
        <v>0</v>
      </c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100</v>
      </c>
      <c r="G19" s="155" t="n">
        <f aca="false">SUM(G16:G18)</f>
        <v>100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17.1</v>
      </c>
      <c r="C20" s="165" t="n">
        <f aca="false">SUM(C23:C82)</f>
        <v>0.13</v>
      </c>
      <c r="D20" s="166"/>
      <c r="E20" s="167" t="s">
        <v>53</v>
      </c>
      <c r="F20" s="168" t="n">
        <f aca="false">($B20*$B$7+$C20*$C$7)/100</f>
        <v>7.7665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7.695</v>
      </c>
      <c r="C21" s="178" t="n">
        <f aca="false">C20*C7/100</f>
        <v>0.0715</v>
      </c>
      <c r="D21" s="110" t="str">
        <f aca="false">IF(F21=0,"",IF((ABS(F21-F19))&gt;(0.2*F21),CONCATENATE(" rec. par taxa (",F21," %) supérieur à 20 % !"),""))</f>
        <v> rec. par taxa (7,7665 %) supérieur à 20 % !</v>
      </c>
      <c r="E21" s="179" t="str">
        <f aca="false">IF(F21=0,"",IF((ABS(F21-F19))&gt;(0.2*F21),CONCATENATE("ATTENTION : écart entre rec. par grp (",F19," %) ","et",""),""))</f>
        <v>ATTENTION : écart entre rec. par grp (100 %) et</v>
      </c>
      <c r="F21" s="180" t="n">
        <f aca="false">B21+C21</f>
        <v>7.7665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1</v>
      </c>
      <c r="C23" s="204"/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5" t="e">
        <f aca="false">IF(D23="",0,VLOOKUP(D23,D$22:D22,1,0))</f>
        <v>#N/A</v>
      </c>
      <c r="F23" s="206" t="n">
        <f aca="false">($B23*$B$7+$C23*$C$7)/100</f>
        <v>0.45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4" t="n">
        <f aca="false">IF(ISTEXT(H23),"",(B23*$B$7/100)+(C23*$C$7/100))</f>
        <v>0.45</v>
      </c>
      <c r="R23" s="215" t="n">
        <f aca="false">IF(OR(ISTEXT(H23),Q23=0),"",IF(Q23&lt;0.1,1,IF(Q23&lt;1,2,IF(Q23&lt;10,3,IF(Q23&lt;50,4,IF(Q23&gt;=50,5,""))))))</f>
        <v>2</v>
      </c>
      <c r="S23" s="215" t="n">
        <f aca="false">IF(ISERROR(R23*I23),0,R23*I23)</f>
        <v>30</v>
      </c>
      <c r="T23" s="215" t="n">
        <f aca="false">IF(ISERROR(R23*I23*J23),0,R23*I23*J23)</f>
        <v>60</v>
      </c>
      <c r="U23" s="215" t="n">
        <f aca="false">IF(ISERROR(R23*J23),0,R23*J23)</f>
        <v>4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IF(A23="new.cod","NEWCOD",IF(AND((Z23=""),ISTEXT(A23)),A23,IF(Z23="","",INDEX('[1]liste reference'!$A$8:$A$904,Z23))))</f>
        <v>LEASPX</v>
      </c>
      <c r="Z23" s="9" t="n">
        <f aca="false">IF(ISERROR(MATCH(A23,'[1]liste reference'!$A$8:$A$904,0)),IF(ISERROR(MATCH(A23,'[1]liste reference'!$B$8:$B$904,0)),"",(MATCH(A23,'[1]liste reference'!$B$8:$B$904,0))),(MATCH(A23,'[1]liste reference'!$A$8:$A$904,0)))</f>
        <v>34</v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0.1</v>
      </c>
      <c r="C24" s="222" t="n">
        <v>0.02</v>
      </c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Nostoc sp.</v>
      </c>
      <c r="E24" s="223" t="e">
        <f aca="false">IF(D24="",0,VLOOKUP(D24,D$22:D23,1,0))</f>
        <v>#N/A</v>
      </c>
      <c r="F24" s="224" t="n">
        <f aca="false">($B24*$B$7+$C24*$C$7)/100</f>
        <v>0.056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9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Nostoc sp.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1105</v>
      </c>
      <c r="Q24" s="214" t="n">
        <f aca="false">IF(ISTEXT(H24),"",(B24*$B$7/100)+(C24*$C$7/100))</f>
        <v>0.056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9</v>
      </c>
      <c r="T24" s="215" t="n">
        <f aca="false">IF(ISERROR(R24*I24*J24),0,R24*I24*J24)</f>
        <v>9</v>
      </c>
      <c r="U24" s="226" t="n">
        <f aca="false">IF(ISERROR(R24*J24),0,R24*J24)</f>
        <v>1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IF(A24="new.cod","NEWCOD",IF(AND((Z24=""),ISTEXT(A24)),A24,IF(Z24="","",INDEX('[1]liste reference'!$A$8:$A$904,Z24))))</f>
        <v>NOSSPX</v>
      </c>
      <c r="Z24" s="9" t="n">
        <f aca="false">IF(ISERROR(MATCH(A24,'[1]liste reference'!$A$8:$A$904,0)),IF(ISERROR(MATCH(A24,'[1]liste reference'!$B$8:$B$904,0)),"",(MATCH(A24,'[1]liste reference'!$B$8:$B$904,0))),(MATCH(A24,'[1]liste reference'!$A$8:$A$904,0)))</f>
        <v>54</v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0.03</v>
      </c>
      <c r="C25" s="222"/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Oscillatoria sp.</v>
      </c>
      <c r="E25" s="223" t="e">
        <f aca="false">IF(D25="",0,VLOOKUP(D25,D$22:D24,1,0))</f>
        <v>#N/A</v>
      </c>
      <c r="F25" s="224" t="n">
        <f aca="false">($B25*$B$7+$C25*$C$7)/100</f>
        <v>0.0135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11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Oscillatoria sp.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1108</v>
      </c>
      <c r="Q25" s="214" t="n">
        <f aca="false">IF(ISTEXT(H25),"",(B25*$B$7/100)+(C25*$C$7/100))</f>
        <v>0.0135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11</v>
      </c>
      <c r="T25" s="215" t="n">
        <f aca="false">IF(ISERROR(R25*I25*J25),0,R25*I25*J25)</f>
        <v>11</v>
      </c>
      <c r="U25" s="226" t="n">
        <f aca="false">IF(ISERROR(R25*J25),0,R25*J25)</f>
        <v>1</v>
      </c>
      <c r="V25" s="216" t="str">
        <f aca="false">IF(AND(A25="",F25=0),"",IF(F25=0,"Il manque le(s) % de rec. !",""))</f>
        <v/>
      </c>
      <c r="W25" s="217"/>
      <c r="X25" s="217"/>
      <c r="Y25" s="215" t="str">
        <f aca="false">IF(A25="new.cod","NEWCOD",IF(AND((Z25=""),ISTEXT(A25)),A25,IF(Z25="","",INDEX('[1]liste reference'!$A$8:$A$904,Z25))))</f>
        <v>OSCSPX</v>
      </c>
      <c r="Z25" s="9" t="n">
        <f aca="false">IF(ISERROR(MATCH(A25,'[1]liste reference'!$A$8:$A$904,0)),IF(ISERROR(MATCH(A25,'[1]liste reference'!$B$8:$B$904,0)),"",(MATCH(A25,'[1]liste reference'!$B$8:$B$904,0))),(MATCH(A25,'[1]liste reference'!$A$8:$A$904,0)))</f>
        <v>56</v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0.02</v>
      </c>
      <c r="C26" s="222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Vaucheria sp.</v>
      </c>
      <c r="E26" s="223" t="e">
        <f aca="false">IF(D26="",0,VLOOKUP(D26,D$22:D25,1,0))</f>
        <v>#N/A</v>
      </c>
      <c r="F26" s="224" t="n">
        <f aca="false">($B26*$B$7+$C26*$C$7)/100</f>
        <v>0.009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4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Vaucheria sp.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6193</v>
      </c>
      <c r="Q26" s="214" t="n">
        <f aca="false">IF(ISTEXT(H26),"",(B26*$B$7/100)+(C26*$C$7/100))</f>
        <v>0.009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4</v>
      </c>
      <c r="T26" s="215" t="n">
        <f aca="false">IF(ISERROR(R26*I26*J26),0,R26*I26*J26)</f>
        <v>4</v>
      </c>
      <c r="U26" s="226" t="n">
        <f aca="false">IF(ISERROR(R26*J26),0,R26*J26)</f>
        <v>1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IF(A26="new.cod","NEWCOD",IF(AND((Z26=""),ISTEXT(A26)),A26,IF(Z26="","",INDEX('[1]liste reference'!$A$8:$A$904,Z26))))</f>
        <v>VAUSPX</v>
      </c>
      <c r="Z26" s="9" t="n">
        <f aca="false">IF(ISERROR(MATCH(A26,'[1]liste reference'!$A$8:$A$904,0)),IF(ISERROR(MATCH(A26,'[1]liste reference'!$B$8:$B$904,0)),"",(MATCH(A26,'[1]liste reference'!$B$8:$B$904,0))),(MATCH(A26,'[1]liste reference'!$A$8:$A$904,0)))</f>
        <v>82</v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/>
      <c r="C27" s="222" t="n">
        <v>0.02</v>
      </c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Dermatocarpon weberi</v>
      </c>
      <c r="E27" s="223" t="e">
        <f aca="false">IF(D27="",0,VLOOKUP(D27,D$22:D26,1,0))</f>
        <v>#N/A</v>
      </c>
      <c r="F27" s="224" t="n">
        <f aca="false">($B27*$B$7+$C27*$C$7)/100</f>
        <v>0.011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LIC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3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16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3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Dermatocarpon weberi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10217</v>
      </c>
      <c r="Q27" s="214" t="n">
        <f aca="false">IF(ISTEXT(H27),"",(B27*$B$7/100)+(C27*$C$7/100))</f>
        <v>0.011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16</v>
      </c>
      <c r="T27" s="215" t="n">
        <f aca="false">IF(ISERROR(R27*I27*J27),0,R27*I27*J27)</f>
        <v>48</v>
      </c>
      <c r="U27" s="226" t="n">
        <f aca="false">IF(ISERROR(R27*J27),0,R27*J27)</f>
        <v>3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IF(A27="new.cod","NEWCOD",IF(AND((Z27=""),ISTEXT(A27)),A27,IF(Z27="","",INDEX('[1]liste reference'!$A$8:$A$904,Z27))))</f>
        <v>DERWEB</v>
      </c>
      <c r="Z27" s="9" t="n">
        <f aca="false">IF(ISERROR(MATCH(A27,'[1]liste reference'!$A$8:$A$904,0)),IF(ISERROR(MATCH(A27,'[1]liste reference'!$B$8:$B$904,0)),"",(MATCH(A27,'[1]liste reference'!$B$8:$B$904,0))),(MATCH(A27,'[1]liste reference'!$A$8:$A$904,0)))</f>
        <v>88</v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0.05</v>
      </c>
      <c r="C28" s="222"/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Chiloscyphus polyanthos</v>
      </c>
      <c r="E28" s="223" t="e">
        <f aca="false">IF(D28="",0,VLOOKUP(D28,D$22:D27,1,0))</f>
        <v>#N/A</v>
      </c>
      <c r="F28" s="224" t="n">
        <f aca="false">($B28*$B$7+$C28*$C$7)/100</f>
        <v>0.0225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BRh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4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15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Chiloscyphus polyanthos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1186</v>
      </c>
      <c r="Q28" s="214" t="n">
        <f aca="false">IF(ISTEXT(H28),"",(B28*$B$7/100)+(C28*$C$7/100))</f>
        <v>0.0225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15</v>
      </c>
      <c r="T28" s="215" t="n">
        <f aca="false">IF(ISERROR(R28*I28*J28),0,R28*I28*J28)</f>
        <v>30</v>
      </c>
      <c r="U28" s="226" t="n">
        <f aca="false">IF(ISERROR(R28*J28),0,R28*J28)</f>
        <v>2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IF(A28="new.cod","NEWCOD",IF(AND((Z28=""),ISTEXT(A28)),A28,IF(Z28="","",INDEX('[1]liste reference'!$A$8:$A$904,Z28))))</f>
        <v>CHIPOL</v>
      </c>
      <c r="Z28" s="9" t="n">
        <f aca="false">IF(ISERROR(MATCH(A28,'[1]liste reference'!$A$8:$A$904,0)),IF(ISERROR(MATCH(A28,'[1]liste reference'!$B$8:$B$904,0)),"",(MATCH(A28,'[1]liste reference'!$B$8:$B$904,0))),(MATCH(A28,'[1]liste reference'!$A$8:$A$904,0)))</f>
        <v>97</v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0.5</v>
      </c>
      <c r="C29" s="222" t="n">
        <v>0.02</v>
      </c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Scapania undulata</v>
      </c>
      <c r="E29" s="223" t="e">
        <f aca="false">IF(D29="",0,VLOOKUP(D29,D$22:D28,1,0))</f>
        <v>#N/A</v>
      </c>
      <c r="F29" s="224" t="n">
        <f aca="false">($B29*$B$7+$C29*$C$7)/100</f>
        <v>0.236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BRh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4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17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Scapania undulata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1213</v>
      </c>
      <c r="Q29" s="214" t="n">
        <f aca="false">IF(ISTEXT(H29),"",(B29*$B$7/100)+(C29*$C$7/100))</f>
        <v>0.236</v>
      </c>
      <c r="R29" s="215" t="n">
        <f aca="false">IF(OR(ISTEXT(H29),Q29=0),"",IF(Q29&lt;0.1,1,IF(Q29&lt;1,2,IF(Q29&lt;10,3,IF(Q29&lt;50,4,IF(Q29&gt;=50,5,""))))))</f>
        <v>2</v>
      </c>
      <c r="S29" s="215" t="n">
        <f aca="false">IF(ISERROR(R29*I29),0,R29*I29)</f>
        <v>34</v>
      </c>
      <c r="T29" s="215" t="n">
        <f aca="false">IF(ISERROR(R29*I29*J29),0,R29*I29*J29)</f>
        <v>102</v>
      </c>
      <c r="U29" s="226" t="n">
        <f aca="false">IF(ISERROR(R29*J29),0,R29*J29)</f>
        <v>6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IF(A29="new.cod","NEWCOD",IF(AND((Z29=""),ISTEXT(A29)),A29,IF(Z29="","",INDEX('[1]liste reference'!$A$8:$A$904,Z29))))</f>
        <v>SCAUND</v>
      </c>
      <c r="Z29" s="9" t="n">
        <f aca="false">IF(ISERROR(MATCH(A29,'[1]liste reference'!$A$8:$A$904,0)),IF(ISERROR(MATCH(A29,'[1]liste reference'!$B$8:$B$904,0)),"",(MATCH(A29,'[1]liste reference'!$B$8:$B$904,0))),(MATCH(A29,'[1]liste reference'!$A$8:$A$904,0)))</f>
        <v>144</v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0.05</v>
      </c>
      <c r="C30" s="222"/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Amblystegium fluviatile</v>
      </c>
      <c r="E30" s="223" t="e">
        <f aca="false">IF(D30="",0,VLOOKUP(D30,D$22:D29,1,0))</f>
        <v>#N/A</v>
      </c>
      <c r="F30" s="224" t="n">
        <f aca="false">($B30*$B$7+$C30*$C$7)/100</f>
        <v>0.0225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11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Amblystegium fluviatile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1223</v>
      </c>
      <c r="Q30" s="214" t="n">
        <f aca="false">IF(ISTEXT(H30),"",(B30*$B$7/100)+(C30*$C$7/100))</f>
        <v>0.0225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11</v>
      </c>
      <c r="T30" s="215" t="n">
        <f aca="false">IF(ISERROR(R30*I30*J30),0,R30*I30*J30)</f>
        <v>22</v>
      </c>
      <c r="U30" s="226" t="n">
        <f aca="false">IF(ISERROR(R30*J30),0,R30*J30)</f>
        <v>2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IF(A30="new.cod","NEWCOD",IF(AND((Z30=""),ISTEXT(A30)),A30,IF(Z30="","",INDEX('[1]liste reference'!$A$8:$A$904,Z30))))</f>
        <v>AMBFLU</v>
      </c>
      <c r="Z30" s="9" t="n">
        <f aca="false">IF(ISERROR(MATCH(A30,'[1]liste reference'!$A$8:$A$904,0)),IF(ISERROR(MATCH(A30,'[1]liste reference'!$B$8:$B$904,0)),"",(MATCH(A30,'[1]liste reference'!$B$8:$B$904,0))),(MATCH(A30,'[1]liste reference'!$A$8:$A$904,0)))</f>
        <v>147</v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0.05</v>
      </c>
      <c r="C31" s="222" t="n">
        <v>0.01</v>
      </c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Fissidens rufulus</v>
      </c>
      <c r="E31" s="223" t="e">
        <f aca="false">IF(D31="",0,VLOOKUP(D31,D$22:D30,1,0))</f>
        <v>#N/A</v>
      </c>
      <c r="F31" s="224" t="n">
        <f aca="false">($B31*$B$7+$C31*$C$7)/100</f>
        <v>0.028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08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09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14</v>
      </c>
      <c r="J31" s="209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3</v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Fissidens rufulus</v>
      </c>
      <c r="L31" s="225"/>
      <c r="M31" s="225"/>
      <c r="N31" s="225"/>
      <c r="O31" s="212"/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19670</v>
      </c>
      <c r="Q31" s="214" t="n">
        <f aca="false">IF(ISTEXT(H31),"",(B31*$B$7/100)+(C31*$C$7/100))</f>
        <v>0.028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14</v>
      </c>
      <c r="T31" s="215" t="n">
        <f aca="false">IF(ISERROR(R31*I31*J31),0,R31*I31*J31)</f>
        <v>42</v>
      </c>
      <c r="U31" s="226" t="n">
        <f aca="false">IF(ISERROR(R31*J31),0,R31*J31)</f>
        <v>3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IF(A31="new.cod","NEWCOD",IF(AND((Z31=""),ISTEXT(A31)),A31,IF(Z31="","",INDEX('[1]liste reference'!$A$8:$A$904,Z31))))</f>
        <v>FISRUF</v>
      </c>
      <c r="Z31" s="9" t="n">
        <f aca="false">IF(ISERROR(MATCH(A31,'[1]liste reference'!$A$8:$A$904,0)),IF(ISERROR(MATCH(A31,'[1]liste reference'!$B$8:$B$904,0)),"",(MATCH(A31,'[1]liste reference'!$B$8:$B$904,0))),(MATCH(A31,'[1]liste reference'!$A$8:$A$904,0)))</f>
        <v>206</v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0.3</v>
      </c>
      <c r="C32" s="222" t="n">
        <v>0.05</v>
      </c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Fontinalis squamosa</v>
      </c>
      <c r="E32" s="223" t="e">
        <f aca="false">IF(D32="",0,VLOOKUP(D32,D$22:D31,1,0))</f>
        <v>#N/A</v>
      </c>
      <c r="F32" s="224" t="n">
        <f aca="false">($B32*$B$7+$C32*$C$7)/100</f>
        <v>0.1625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8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09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16</v>
      </c>
      <c r="J32" s="209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3</v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Fontinalis squamosa</v>
      </c>
      <c r="L32" s="225"/>
      <c r="M32" s="225"/>
      <c r="N32" s="225"/>
      <c r="O32" s="212"/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1312</v>
      </c>
      <c r="Q32" s="214" t="n">
        <f aca="false">IF(ISTEXT(H32),"",(B32*$B$7/100)+(C32*$C$7/100))</f>
        <v>0.1625</v>
      </c>
      <c r="R32" s="215" t="n">
        <f aca="false">IF(OR(ISTEXT(H32),Q32=0),"",IF(Q32&lt;0.1,1,IF(Q32&lt;1,2,IF(Q32&lt;10,3,IF(Q32&lt;50,4,IF(Q32&gt;=50,5,""))))))</f>
        <v>2</v>
      </c>
      <c r="S32" s="215" t="n">
        <f aca="false">IF(ISERROR(R32*I32),0,R32*I32)</f>
        <v>32</v>
      </c>
      <c r="T32" s="215" t="n">
        <f aca="false">IF(ISERROR(R32*I32*J32),0,R32*I32*J32)</f>
        <v>96</v>
      </c>
      <c r="U32" s="226" t="n">
        <f aca="false">IF(ISERROR(R32*J32),0,R32*J32)</f>
        <v>6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IF(A32="new.cod","NEWCOD",IF(AND((Z32=""),ISTEXT(A32)),A32,IF(Z32="","",INDEX('[1]liste reference'!$A$8:$A$904,Z32))))</f>
        <v>FONSQU</v>
      </c>
      <c r="Z32" s="9" t="n">
        <f aca="false">IF(ISERROR(MATCH(A32,'[1]liste reference'!$A$8:$A$904,0)),IF(ISERROR(MATCH(A32,'[1]liste reference'!$B$8:$B$904,0)),"",(MATCH(A32,'[1]liste reference'!$B$8:$B$904,0))),(MATCH(A32,'[1]liste reference'!$A$8:$A$904,0)))</f>
        <v>214</v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15</v>
      </c>
      <c r="B33" s="221" t="n">
        <v>15</v>
      </c>
      <c r="C33" s="222" t="n">
        <v>0.01</v>
      </c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Rhynchostegium riparioides</v>
      </c>
      <c r="E33" s="223" t="e">
        <f aca="false">IF(D33="",0,VLOOKUP(D33,D$22:D32,1,0))</f>
        <v>#N/A</v>
      </c>
      <c r="F33" s="224" t="n">
        <f aca="false">($B33*$B$7+$C33*$C$7)/100</f>
        <v>6.7555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08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09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09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Rhynchostegium riparioides</v>
      </c>
      <c r="L33" s="225"/>
      <c r="M33" s="225"/>
      <c r="N33" s="225"/>
      <c r="O33" s="212"/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1268</v>
      </c>
      <c r="Q33" s="214" t="n">
        <f aca="false">IF(ISTEXT(H33),"",(B33*$B$7/100)+(C33*$C$7/100))</f>
        <v>6.7555</v>
      </c>
      <c r="R33" s="215" t="n">
        <f aca="false">IF(OR(ISTEXT(H33),Q33=0),"",IF(Q33&lt;0.1,1,IF(Q33&lt;1,2,IF(Q33&lt;10,3,IF(Q33&lt;50,4,IF(Q33&gt;=50,5,""))))))</f>
        <v>3</v>
      </c>
      <c r="S33" s="215" t="n">
        <f aca="false">IF(ISERROR(R33*I33),0,R33*I33)</f>
        <v>36</v>
      </c>
      <c r="T33" s="215" t="n">
        <f aca="false">IF(ISERROR(R33*I33*J33),0,R33*I33*J33)</f>
        <v>36</v>
      </c>
      <c r="U33" s="226" t="n">
        <f aca="false">IF(ISERROR(R33*J33),0,R33*J33)</f>
        <v>3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IF(A33="new.cod","NEWCOD",IF(AND((Z33=""),ISTEXT(A33)),A33,IF(Z33="","",INDEX('[1]liste reference'!$A$8:$A$904,Z33))))</f>
        <v>RHYRIP</v>
      </c>
      <c r="Z33" s="9" t="n">
        <f aca="false">IF(ISERROR(MATCH(A33,'[1]liste reference'!$A$8:$A$904,0)),IF(ISERROR(MATCH(A33,'[1]liste reference'!$B$8:$B$904,0)),"",(MATCH(A33,'[1]liste reference'!$B$8:$B$904,0))),(MATCH(A33,'[1]liste reference'!$A$8:$A$904,0)))</f>
        <v>252</v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8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5"/>
      <c r="M34" s="225"/>
      <c r="N34" s="225"/>
      <c r="O34" s="212"/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IF(A34="new.cod","NEWCOD",IF(AND((Z34=""),ISTEXT(A34)),A34,IF(Z34="","",INDEX('[1]liste reference'!$A$8:$A$904,Z34))))</f>
        <v/>
      </c>
      <c r="Z34" s="9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8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09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09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5"/>
      <c r="M35" s="225"/>
      <c r="N35" s="225"/>
      <c r="O35" s="212"/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IF(A35="new.cod","NEWCOD",IF(AND((Z35=""),ISTEXT(A35)),A35,IF(Z35="","",INDEX('[1]liste reference'!$A$8:$A$904,Z35))))</f>
        <v/>
      </c>
      <c r="Z35" s="9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8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5"/>
      <c r="M36" s="225"/>
      <c r="N36" s="225"/>
      <c r="O36" s="212"/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IF(A36="new.cod","NEWCOD",IF(AND((Z36=""),ISTEXT(A36)),A36,IF(Z36="","",INDEX('[1]liste reference'!$A$8:$A$904,Z36))))</f>
        <v/>
      </c>
      <c r="Z36" s="9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5"/>
      <c r="M37" s="225"/>
      <c r="N37" s="225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IF(A37="new.cod","NEWCOD",IF(AND((Z37=""),ISTEXT(A37)),A37,IF(Z37="","",INDEX('[1]liste reference'!$A$8:$A$904,Z37))))</f>
        <v/>
      </c>
      <c r="Z37" s="9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IF(A38="new.cod","NEWCOD",IF(AND((Z38=""),ISTEXT(A38)),A38,IF(Z38="","",INDEX('[1]liste reference'!$A$8:$A$904,Z38))))</f>
        <v/>
      </c>
      <c r="Z38" s="9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IF(A39="new.cod","NEWCOD",IF(AND((Z39=""),ISTEXT(A39)),A39,IF(Z39="","",INDEX('[1]liste reference'!$A$8:$A$904,Z39))))</f>
        <v/>
      </c>
      <c r="Z39" s="9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IF(A40="new.cod","NEWCOD",IF(AND((Z40=""),ISTEXT(A40)),A40,IF(Z40="","",INDEX('[1]liste reference'!$A$8:$A$904,Z40))))</f>
        <v/>
      </c>
      <c r="Z40" s="9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IF(A41="new.cod","NEWCOD",IF(AND((Z41=""),ISTEXT(A41)),A41,IF(Z41="","",INDEX('[1]liste reference'!$A$8:$A$904,Z41))))</f>
        <v/>
      </c>
      <c r="Z41" s="9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IF(A42="new.cod","NEWCOD",IF(AND((Z42=""),ISTEXT(A42)),A42,IF(Z42="","",INDEX('[1]liste reference'!$A$8:$A$904,Z42))))</f>
        <v/>
      </c>
      <c r="Z42" s="9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IF(A43="new.cod","NEWCOD",IF(AND((Z43=""),ISTEXT(A43)),A43,IF(Z43="","",INDEX('[1]liste reference'!$A$8:$A$904,Z43))))</f>
        <v/>
      </c>
      <c r="Z43" s="9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IF(A44="new.cod","NEWCOD",IF(AND((Z44=""),ISTEXT(A44)),A44,IF(Z44="","",INDEX('[1]liste reference'!$A$8:$A$904,Z44))))</f>
        <v/>
      </c>
      <c r="Z44" s="9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IF(A45="new.cod","NEWCOD",IF(AND((Z45=""),ISTEXT(A45)),A45,IF(Z45="","",INDEX('[1]liste reference'!$A$8:$A$904,Z45))))</f>
        <v/>
      </c>
      <c r="Z45" s="9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IF(A46="new.cod","NEWCOD",IF(AND((Z46=""),ISTEXT(A46)),A46,IF(Z46="","",INDEX('[1]liste reference'!$A$8:$A$904,Z46))))</f>
        <v/>
      </c>
      <c r="Z46" s="9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IF(A47="new.cod","NEWCOD",IF(AND((Z47=""),ISTEXT(A47)),A47,IF(Z47="","",INDEX('[1]liste reference'!$A$8:$A$904,Z47))))</f>
        <v/>
      </c>
      <c r="Z47" s="9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IF(A48="new.cod","NEWCOD",IF(AND((Z48=""),ISTEXT(A48)),A48,IF(Z48="","",INDEX('[1]liste reference'!$A$8:$A$904,Z48))))</f>
        <v/>
      </c>
      <c r="Z48" s="9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IF(A49="new.cod","NEWCOD",IF(AND((Z49=""),ISTEXT(A49)),A49,IF(Z49="","",INDEX('[1]liste reference'!$A$8:$A$904,Z49))))</f>
        <v/>
      </c>
      <c r="Z49" s="9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IF(A50="new.cod","NEWCOD",IF(AND((Z50=""),ISTEXT(A50)),A50,IF(Z50="","",INDEX('[1]liste reference'!$A$8:$A$904,Z50))))</f>
        <v/>
      </c>
      <c r="Z50" s="9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IF(A51="new.cod","NEWCOD",IF(AND((Z51=""),ISTEXT(A51)),A51,IF(Z51="","",INDEX('[1]liste reference'!$A$8:$A$904,Z51))))</f>
        <v/>
      </c>
      <c r="Z51" s="9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IF(A52="new.cod","NEWCOD",IF(AND((Z52=""),ISTEXT(A52)),A52,IF(Z52="","",INDEX('[1]liste reference'!$A$8:$A$904,Z52))))</f>
        <v/>
      </c>
      <c r="Z52" s="9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IF(A53="new.cod","NEWCOD",IF(AND((Z53=""),ISTEXT(A53)),A53,IF(Z53="","",INDEX('[1]liste reference'!$A$8:$A$904,Z53))))</f>
        <v/>
      </c>
      <c r="Z53" s="9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IF(A54="new.cod","NEWCOD",IF(AND((Z54=""),ISTEXT(A54)),A54,IF(Z54="","",INDEX('[1]liste reference'!$A$8:$A$904,Z54))))</f>
        <v/>
      </c>
      <c r="Z54" s="9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IF(A55="new.cod","NEWCOD",IF(AND((Z55=""),ISTEXT(A55)),A55,IF(Z55="","",INDEX('[1]liste reference'!$A$8:$A$904,Z55))))</f>
        <v/>
      </c>
      <c r="Z55" s="9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IF(A56="new.cod","NEWCOD",IF(AND((Z56=""),ISTEXT(A56)),A56,IF(Z56="","",INDEX('[1]liste reference'!$A$8:$A$904,Z56))))</f>
        <v/>
      </c>
      <c r="Z56" s="9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IF(A57="new.cod","NEWCOD",IF(AND((Z57=""),ISTEXT(A57)),A57,IF(Z57="","",INDEX('[1]liste reference'!$A$8:$A$904,Z57))))</f>
        <v/>
      </c>
      <c r="Z57" s="9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5"/>
      <c r="M58" s="225"/>
      <c r="N58" s="225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IF(A58="new.cod","NEWCOD",IF(AND((Z58=""),ISTEXT(A58)),A58,IF(Z58="","",INDEX('[1]liste reference'!$A$8:$A$904,Z58))))</f>
        <v/>
      </c>
      <c r="Z58" s="9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0"/>
      <c r="M59" s="230"/>
      <c r="N59" s="230"/>
      <c r="O59" s="212"/>
      <c r="P59" s="23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IF(A59="new.cod","NEWCOD",IF(AND((Z59=""),ISTEXT(A59)),A59,IF(Z59="","",INDEX('[1]liste reference'!$A$8:$A$904,Z59))))</f>
        <v/>
      </c>
      <c r="Z59" s="9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0"/>
      <c r="M60" s="230"/>
      <c r="N60" s="230"/>
      <c r="O60" s="212"/>
      <c r="P60" s="231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IF(A60="new.cod","NEWCOD",IF(AND((Z60=""),ISTEXT(A60)),A60,IF(Z60="","",INDEX('[1]liste reference'!$A$8:$A$904,Z60))))</f>
        <v/>
      </c>
      <c r="Z60" s="9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IF(A61="new.cod","NEWCOD",IF(AND((Z61=""),ISTEXT(A61)),A61,IF(Z61="","",INDEX('[1]liste reference'!$A$8:$A$904,Z61))))</f>
        <v/>
      </c>
      <c r="Z61" s="9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IF(A62="new.cod","NEWCOD",IF(AND((Z62=""),ISTEXT(A62)),A62,IF(Z62="","",INDEX('[1]liste reference'!$A$8:$A$904,Z62))))</f>
        <v/>
      </c>
      <c r="Z62" s="9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3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IF(A63="new.cod","NEWCOD",IF(AND((Z63=""),ISTEXT(A63)),A63,IF(Z63="","",INDEX('[1]liste reference'!$A$8:$A$904,Z63))))</f>
        <v/>
      </c>
      <c r="Z63" s="9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5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IF(A64="new.cod","NEWCOD",IF(AND((Z64=""),ISTEXT(A64)),A64,IF(Z64="","",INDEX('[1]liste reference'!$A$8:$A$904,Z64))))</f>
        <v/>
      </c>
      <c r="Z64" s="9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5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IF(A65="new.cod","NEWCOD",IF(AND((Z65=""),ISTEXT(A65)),A65,IF(Z65="","",INDEX('[1]liste reference'!$A$8:$A$904,Z65))))</f>
        <v/>
      </c>
      <c r="Z65" s="9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5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IF(A66="new.cod","NEWCOD",IF(AND((Z66=""),ISTEXT(A66)),A66,IF(Z66="","",INDEX('[1]liste reference'!$A$8:$A$904,Z66))))</f>
        <v/>
      </c>
      <c r="Z66" s="9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5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IF(A67="new.cod","NEWCOD",IF(AND((Z67=""),ISTEXT(A67)),A67,IF(Z67="","",INDEX('[1]liste reference'!$A$8:$A$904,Z67))))</f>
        <v/>
      </c>
      <c r="Z67" s="9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5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IF(A68="new.cod","NEWCOD",IF(AND((Z68=""),ISTEXT(A68)),A68,IF(Z68="","",INDEX('[1]liste reference'!$A$8:$A$904,Z68))))</f>
        <v/>
      </c>
      <c r="Z68" s="9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5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IF(A69="new.cod","NEWCOD",IF(AND((Z69=""),ISTEXT(A69)),A69,IF(Z69="","",INDEX('[1]liste reference'!$A$8:$A$904,Z69))))</f>
        <v/>
      </c>
      <c r="Z69" s="9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5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IF(A70="new.cod","NEWCOD",IF(AND((Z70=""),ISTEXT(A70)),A70,IF(Z70="","",INDEX('[1]liste reference'!$A$8:$A$904,Z70))))</f>
        <v/>
      </c>
      <c r="Z70" s="9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5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IF(A71="new.cod","NEWCOD",IF(AND((Z71=""),ISTEXT(A71)),A71,IF(Z71="","",INDEX('[1]liste reference'!$A$8:$A$904,Z71))))</f>
        <v/>
      </c>
      <c r="Z71" s="9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5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IF(A72="new.cod","NEWCOD",IF(AND((Z72=""),ISTEXT(A72)),A72,IF(Z72="","",INDEX('[1]liste reference'!$A$8:$A$904,Z72))))</f>
        <v/>
      </c>
      <c r="Z72" s="9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5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IF(A73="new.cod","NEWCOD",IF(AND((Z73=""),ISTEXT(A73)),A73,IF(Z73="","",INDEX('[1]liste reference'!$A$8:$A$904,Z73))))</f>
        <v/>
      </c>
      <c r="Z73" s="9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5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IF(A74="new.cod","NEWCOD",IF(AND((Z74=""),ISTEXT(A74)),A74,IF(Z74="","",INDEX('[1]liste reference'!$A$8:$A$904,Z74))))</f>
        <v/>
      </c>
      <c r="Z74" s="9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5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IF(A75="new.cod","NEWCOD",IF(AND((Z75=""),ISTEXT(A75)),A75,IF(Z75="","",INDEX('[1]liste reference'!$A$8:$A$904,Z75))))</f>
        <v/>
      </c>
      <c r="Z75" s="9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5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IF(A76="new.cod","NEWCOD",IF(AND((Z76=""),ISTEXT(A76)),A76,IF(Z76="","",INDEX('[1]liste reference'!$A$8:$A$904,Z76))))</f>
        <v/>
      </c>
      <c r="Z76" s="9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5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IF(A77="new.cod","NEWCOD",IF(AND((Z77=""),ISTEXT(A77)),A77,IF(Z77="","",INDEX('[1]liste reference'!$A$8:$A$904,Z77))))</f>
        <v/>
      </c>
      <c r="Z77" s="9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5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IF(A78="new.cod","NEWCOD",IF(AND((Z78=""),ISTEXT(A78)),A78,IF(Z78="","",INDEX('[1]liste reference'!$A$8:$A$904,Z78))))</f>
        <v/>
      </c>
      <c r="Z78" s="9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5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IF(A79="new.cod","NEWCOD",IF(AND((Z79=""),ISTEXT(A79)),A79,IF(Z79="","",INDEX('[1]liste reference'!$A$8:$A$904,Z79))))</f>
        <v/>
      </c>
      <c r="Z79" s="9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5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IF(A80="new.cod","NEWCOD",IF(AND((Z80=""),ISTEXT(A80)),A80,IF(Z80="","",INDEX('[1]liste reference'!$A$8:$A$904,Z80))))</f>
        <v/>
      </c>
      <c r="Z80" s="9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5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IF(A81="new.cod","NEWCOD",IF(AND((Z81=""),ISTEXT(A81)),A81,IF(Z81="","",INDEX('[1]liste reference'!$A$8:$A$904,Z81))))</f>
        <v/>
      </c>
      <c r="Z81" s="9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4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5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IF(A82="new.cod","NEWCOD",IF(AND((Z82=""),ISTEXT(A82)),A82,IF(Z82="","",INDEX('[1]liste reference'!$A$8:$A$904,Z82))))</f>
        <v/>
      </c>
      <c r="Z82" s="9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RANCE</v>
      </c>
      <c r="B84" s="256" t="str">
        <f aca="false">C3</f>
        <v>VITRAC</v>
      </c>
      <c r="C84" s="257" t="n">
        <f aca="false">A4</f>
        <v>41481</v>
      </c>
      <c r="D84" s="258" t="n">
        <f aca="false">IF(ISERROR(SUM($T$23:$T$82)/SUM($U$23:$U$82)),"",SUM($T$23:$T$82)/SUM($U$23:$U$82))</f>
        <v>14.375</v>
      </c>
      <c r="E84" s="259" t="n">
        <f aca="false">N13</f>
        <v>11</v>
      </c>
      <c r="F84" s="256" t="n">
        <f aca="false">N14</f>
        <v>11</v>
      </c>
      <c r="G84" s="256" t="n">
        <f aca="false">N15</f>
        <v>4</v>
      </c>
      <c r="H84" s="256" t="n">
        <f aca="false">N16</f>
        <v>3</v>
      </c>
      <c r="I84" s="256" t="n">
        <f aca="false">N17</f>
        <v>4</v>
      </c>
      <c r="J84" s="260" t="n">
        <f aca="false">N8</f>
        <v>12.7272727272727</v>
      </c>
      <c r="K84" s="258" t="n">
        <f aca="false">N9</f>
        <v>3.67029622512479</v>
      </c>
      <c r="L84" s="259" t="n">
        <f aca="false">N10</f>
        <v>4</v>
      </c>
      <c r="M84" s="259" t="n">
        <f aca="false">N11</f>
        <v>17</v>
      </c>
      <c r="N84" s="258" t="n">
        <f aca="false">O8</f>
        <v>2</v>
      </c>
      <c r="O84" s="258" t="n">
        <f aca="false">O9</f>
        <v>0.852802865422442</v>
      </c>
      <c r="P84" s="259" t="n">
        <f aca="false">O10</f>
        <v>1</v>
      </c>
      <c r="Q84" s="259" t="n">
        <f aca="false">O11</f>
        <v>3</v>
      </c>
      <c r="R84" s="259" t="n">
        <f aca="false">F21</f>
        <v>7.7665</v>
      </c>
      <c r="S84" s="259" t="n">
        <f aca="false">K11</f>
        <v>0</v>
      </c>
      <c r="T84" s="259" t="n">
        <f aca="false">K12</f>
        <v>4</v>
      </c>
      <c r="U84" s="259" t="n">
        <f aca="false">K13</f>
        <v>6</v>
      </c>
      <c r="V84" s="261" t="n">
        <f aca="false">K14</f>
        <v>1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90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91</v>
      </c>
      <c r="R87" s="9"/>
      <c r="S87" s="216" t="n">
        <f aca="false">VLOOKUP(MAX($S$23:$S$82),($S$23:$U$82),1,0)</f>
        <v>36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92</v>
      </c>
      <c r="R88" s="9"/>
      <c r="S88" s="216" t="n">
        <f aca="false">VLOOKUP((S87),($S$23:$U$82),2,0)</f>
        <v>36</v>
      </c>
      <c r="T88" s="9"/>
      <c r="U88" s="9"/>
      <c r="V88" s="9"/>
    </row>
    <row r="89" customFormat="false" ht="12.75" hidden="true" customHeight="false" outlineLevel="0" collapsed="false">
      <c r="Q89" s="9" t="s">
        <v>93</v>
      </c>
      <c r="R89" s="9"/>
      <c r="S89" s="216" t="n">
        <f aca="false">VLOOKUP((S87),($S$23:$U$82),3,0)</f>
        <v>3</v>
      </c>
      <c r="T89" s="9"/>
    </row>
    <row r="90" customFormat="false" ht="12.75" hidden="false" customHeight="false" outlineLevel="0" collapsed="false">
      <c r="Q90" s="9" t="s">
        <v>94</v>
      </c>
      <c r="R90" s="9"/>
      <c r="S90" s="264" t="n">
        <f aca="false">IF(ISERROR(SUM($T$23:$T$82)/SUM($U$23:$U$82)),"",(SUM($T$23:$T$82)-S88)/(SUM($U$23:$U$82)-S89))</f>
        <v>14.6206896551724</v>
      </c>
      <c r="T90" s="9"/>
    </row>
    <row r="91" customFormat="false" ht="12.75" hidden="false" customHeight="false" outlineLevel="0" collapsed="false">
      <c r="Q91" s="215" t="s">
        <v>95</v>
      </c>
      <c r="R91" s="215"/>
      <c r="S91" s="215" t="str">
        <f aca="false">INDEX('[1]liste reference'!$A$8:$A$904,$T$91)</f>
        <v>RHYRIP</v>
      </c>
      <c r="T91" s="9" t="n">
        <f aca="false">IF(ISERROR(MATCH($S$93,'[1]liste reference'!$A$8:$A$904,0)),MATCH($S$93,'[1]liste reference'!$B$8:$B$904,0),(MATCH($S$93,'[1]liste reference'!$A$8:$A$904,0)))</f>
        <v>252</v>
      </c>
      <c r="U91" s="254"/>
    </row>
    <row r="92" customFormat="false" ht="12.75" hidden="false" customHeight="false" outlineLevel="0" collapsed="false">
      <c r="Q92" s="9" t="s">
        <v>96</v>
      </c>
      <c r="R92" s="9"/>
      <c r="S92" s="9" t="n">
        <f aca="false">MATCH(S87,$S$23:$S$82,0)</f>
        <v>11</v>
      </c>
      <c r="T92" s="9"/>
    </row>
    <row r="93" customFormat="false" ht="12.75" hidden="false" customHeight="false" outlineLevel="0" collapsed="false">
      <c r="Q93" s="215" t="s">
        <v>97</v>
      </c>
      <c r="R93" s="9"/>
      <c r="S93" s="215" t="str">
        <f aca="false">INDEX($A$23:$A$82,$S$92)</f>
        <v>RHYRIP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2024-04-30T10:26:40Z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