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6" sheetId="1" state="visible" r:id="rId3"/>
  </sheets>
  <externalReferences>
    <externalReference r:id="rId4"/>
  </externalReferences>
  <definedNames>
    <definedName function="false" hidden="false" localSheetId="0" name="Excel_BuiltIn_Print_Area" vbProcedure="false">'56'!$A$1:$O$36</definedName>
    <definedName function="false" hidden="false" localSheetId="0" name="Excel_BuiltIn__FilterDatabase" vbProcedure="false">'56'!$A$23:$J$84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2</xdr:row>
                <xdr:rowOff>7</xdr:rowOff>
              </xdr:from>
              <xdr:to>
                <xdr:col>2</xdr:col>
                <xdr:colOff>56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<sst xmlns="http://schemas.openxmlformats.org/spreadsheetml/2006/main" count="105" uniqueCount="100">
  <si>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</si>
  <si>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</si>
  <si>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</si>
  <si>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</si>
  <si>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EPIE</t>
  </si>
  <si>
    <t xml:space="preserve">ORADOUR</t>
  </si>
  <si>
    <t xml:space="preserve">05096400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</si>
  <si>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</si>
  <si>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</si>
  <si>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</si>
  <si>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</si>
  <si>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</si>
  <si>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</si>
  <si>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</si>
  <si>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</si>
  <si>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</si>
  <si>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</si>
  <si>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</si>
  <si>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</si>
  <si>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</si>
  <si>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</si>
  <si>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</si>
  <si>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</si>
  <si>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</si>
  <si>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</si>
  <si>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</si>
  <si>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</si>
  <si>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</si>
  <si>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</si>
  <si>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</si>
  <si>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</si>
  <si>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</si>
  <si>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</si>
  <si>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</si>
  <si>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</si>
  <si>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</si>
  <si>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</si>
  <si>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</si>
  <si>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</si>
  <si>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</si>
  <si>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</si>
  <si>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</si>
  <si>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</si>
  <si>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</si>
  <si>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</si>
  <si>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</si>
  <si>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</si>
  <si>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</si>
  <si>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</si>
  <si>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</si>
  <si>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</si>
  <si>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</si>
  <si>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</si>
  <si>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</si>
  <si>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</si>
  <si>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(100 %) et</t>
  </si>
  <si>
    <t xml:space="preserve">rec. pondéré</t>
  </si>
  <si>
    <t xml:space="preserve">voir aussi colonne BB</t>
  </si>
  <si>
    <t xml:space="preserve"> rec. par taxa (5,91 %)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</si>
  <si>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</si>
  <si>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</si>
  <si>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</si>
  <si>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</si>
  <si>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</si>
  <si>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</si>
  <si>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</si>
  <si>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</si>
  <si>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</si>
  <si>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</si>
  <si>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</si>
  <si>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</si>
  <si>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</si>
  <si>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</si>
  <si>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</si>
  <si>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</si>
  <si>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</si>
  <si>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</si>
  <si>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</si>
  <si>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</si>
  <si>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NOSSPX</t>
  </si>
  <si>
    <t xml:space="preserve">OSCSPX</t>
  </si>
  <si>
    <t xml:space="preserve">CHIPOL</t>
  </si>
  <si>
    <t xml:space="preserve">FONANT</t>
  </si>
  <si>
    <t xml:space="preserve">AGRSTO</t>
  </si>
  <si>
    <t xml:space="preserve">CARROS</t>
  </si>
  <si>
    <t xml:space="preserve">ELEPAL</t>
  </si>
  <si>
    <t xml:space="preserve">GLYFLU</t>
  </si>
  <si>
    <t xml:space="preserve">MENLON</t>
  </si>
  <si>
    <t xml:space="preserve">PHAARU</t>
  </si>
  <si>
    <t xml:space="preserve">SPAERE</t>
  </si>
  <si>
    <t xml:space="preserve">CYPERA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</si>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</sst>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3_Mphyt_13.01_ADOUR-LOT3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41480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12.7307692307692</v>
      </c>
      <c r="M5" s="52"/>
      <c r="N5" s="53" t="s">
        <v>15</v>
      </c>
      <c r="O5" s="54" t="n">
        <v>12.8260869565217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/>
      <c r="D6" s="45"/>
      <c r="E6" s="45"/>
      <c r="F6" s="46"/>
      <c r="G6" s="47"/>
      <c r="H6" s="45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24</v>
      </c>
      <c r="B8" s="78"/>
      <c r="C8" s="78"/>
      <c r="D8" s="67"/>
      <c r="E8" s="67"/>
      <c r="F8" s="79" t="s">
        <v>25</v>
      </c>
      <c r="G8" s="80"/>
      <c r="H8" s="81"/>
      <c r="I8" s="70"/>
      <c r="J8" s="71"/>
      <c r="K8" s="72"/>
      <c r="L8" s="73"/>
      <c r="M8" s="82" t="s">
        <v>26</v>
      </c>
      <c r="N8" s="83" t="n">
        <f aca="false">IF(ISERROR(AVERAGE(I23:I82)),"     -",AVERAGE(I23:I82))</f>
        <v>11.9166666666667</v>
      </c>
      <c r="O8" s="83" t="n">
        <f aca="false">IF(ISERROR(AVERAGE(J23:J82)),"      -",AVERAGE(J23:J82))</f>
        <v>1.5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27</v>
      </c>
      <c r="B9" s="85" t="n">
        <v>5.9</v>
      </c>
      <c r="C9" s="86"/>
      <c r="D9" s="87"/>
      <c r="E9" s="87"/>
      <c r="F9" s="88" t="n">
        <f aca="false">($B9*$B$7+$C9*$C$7)/100</f>
        <v>5.9</v>
      </c>
      <c r="G9" s="89"/>
      <c r="H9" s="90"/>
      <c r="I9" s="91"/>
      <c r="J9" s="92"/>
      <c r="K9" s="72"/>
      <c r="L9" s="93"/>
      <c r="M9" s="82" t="s">
        <v>28</v>
      </c>
      <c r="N9" s="83" t="n">
        <f aca="false">IF(ISERROR(STDEVP(I23:I82)),"     -",STDEVP(I23:I82))</f>
        <v>2.17785572422866</v>
      </c>
      <c r="O9" s="83" t="n">
        <f aca="false">IF(ISERROR(STDEVP(J23:J82)),"      -",STDEVP(J23:J82))</f>
        <v>0.645497224367903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29</v>
      </c>
      <c r="B10" s="97" t="s">
        <v>30</v>
      </c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9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15</v>
      </c>
      <c r="O11" s="105" t="n">
        <f aca="false">MAX(J23:J82)</f>
        <v>3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 t="n">
        <f aca="false">226/5.91</f>
        <v>38.2402707275804</v>
      </c>
      <c r="C12" s="118"/>
      <c r="D12" s="110"/>
      <c r="E12" s="110"/>
      <c r="F12" s="111" t="n">
        <f aca="false">($B12*$B$7+$C12*$C$7)/100</f>
        <v>38.2402707275804</v>
      </c>
      <c r="G12" s="119"/>
      <c r="H12" s="67"/>
      <c r="I12" s="120" t="s">
        <v>37</v>
      </c>
      <c r="J12" s="120"/>
      <c r="K12" s="114" t="n">
        <f aca="false">COUNTIF($G$23:$G$82,"=ALG")</f>
        <v>3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 t="n">
        <f aca="false">352/5.91</f>
        <v>59.5600676818951</v>
      </c>
      <c r="C13" s="118"/>
      <c r="D13" s="110"/>
      <c r="E13" s="110"/>
      <c r="F13" s="111" t="n">
        <f aca="false">($B13*$B$7+$C13*$C$7)/100</f>
        <v>59.5600676818951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3</v>
      </c>
      <c r="L13" s="115"/>
      <c r="M13" s="126" t="s">
        <v>40</v>
      </c>
      <c r="N13" s="127" t="n">
        <f aca="false">COUNTIF(F23:F82,"&gt;0")</f>
        <v>14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 t="n">
        <v>0</v>
      </c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12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 t="n">
        <f aca="false">100-B13-B12</f>
        <v>2.19966159052453</v>
      </c>
      <c r="C15" s="135"/>
      <c r="D15" s="110"/>
      <c r="E15" s="110"/>
      <c r="F15" s="111" t="n">
        <f aca="false">($B15*$B$7+$C15*$C$7)/100</f>
        <v>2.19966159052453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8</v>
      </c>
      <c r="L15" s="115"/>
      <c r="M15" s="136" t="s">
        <v>46</v>
      </c>
      <c r="N15" s="137" t="n">
        <f aca="false">COUNTIF(J23:J82,"=1")</f>
        <v>7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 t="n">
        <v>0</v>
      </c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4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 t="n">
        <f aca="false">100-B18</f>
        <v>97.8003384094755</v>
      </c>
      <c r="C17" s="118"/>
      <c r="D17" s="110"/>
      <c r="E17" s="110"/>
      <c r="F17" s="142"/>
      <c r="G17" s="111" t="n">
        <f aca="false">($B17*$B$7+$C17*$C$7)/100</f>
        <v>97.8003384094755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1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 t="n">
        <f aca="false">13/5.91</f>
        <v>2.19966159052453</v>
      </c>
      <c r="C18" s="145"/>
      <c r="D18" s="110"/>
      <c r="E18" s="146" t="s">
        <v>52</v>
      </c>
      <c r="F18" s="142"/>
      <c r="G18" s="111" t="n">
        <f aca="false">($B18*$B$7+$C18*$C$7)/100</f>
        <v>2.19966159052453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100</v>
      </c>
      <c r="G19" s="155" t="n">
        <f aca="false">SUM(G16:G18)</f>
        <v>100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5.91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5.91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5.91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(5,91 %) supérieur à 20 % !</v>
      </c>
      <c r="E21" s="179" t="str">
        <f aca="false">IF(F21=0,"",IF((ABS(F21-F19))&gt;(0.2*F21),CONCATENATE("ATTENTION : écart entre rec. par grp (",F19," %) ","et",""),""))</f>
        <v>ATTENTION : écart entre rec. par grp (100 %) et</v>
      </c>
      <c r="F21" s="180" t="n">
        <f aca="false">B21+C21</f>
        <v>5.91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0.75</v>
      </c>
      <c r="C23" s="204"/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5" t="e">
        <f aca="false">IF(D23="",0,VLOOKUP(D23,D$22:D22,1,0))</f>
        <v>#N/A</v>
      </c>
      <c r="F23" s="206" t="n">
        <f aca="false">($B23*$B$7+$C23*$C$7)/100</f>
        <v>0.75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4" t="n">
        <f aca="false">IF(ISTEXT(H23),"",(B23*$B$7/100)+(C23*$C$7/100))</f>
        <v>0.75</v>
      </c>
      <c r="R23" s="215" t="n">
        <f aca="false">IF(OR(ISTEXT(H23),Q23=0),"",IF(Q23&lt;0.1,1,IF(Q23&lt;1,2,IF(Q23&lt;10,3,IF(Q23&lt;50,4,IF(Q23&gt;=50,5,""))))))</f>
        <v>2</v>
      </c>
      <c r="S23" s="215" t="n">
        <f aca="false">IF(ISERROR(R23*I23),0,R23*I23)</f>
        <v>30</v>
      </c>
      <c r="T23" s="215" t="n">
        <f aca="false">IF(ISERROR(R23*I23*J23),0,R23*I23*J23)</f>
        <v>60</v>
      </c>
      <c r="U23" s="215" t="n">
        <f aca="false">IF(ISERROR(R23*J23),0,R23*J23)</f>
        <v>4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LEASPX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1.5</v>
      </c>
      <c r="C24" s="222"/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Nostoc sp.</v>
      </c>
      <c r="E24" s="223" t="e">
        <f aca="false">IF(D24="",0,VLOOKUP(D24,D$22:D23,1,0))</f>
        <v>#N/A</v>
      </c>
      <c r="F24" s="224" t="n">
        <f aca="false">($B24*$B$7+$C24*$C$7)/100</f>
        <v>1.5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9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Nostoc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1105</v>
      </c>
      <c r="Q24" s="214" t="n">
        <f aca="false">IF(ISTEXT(H24),"",(B24*$B$7/100)+(C24*$C$7/100))</f>
        <v>1.5</v>
      </c>
      <c r="R24" s="215" t="n">
        <f aca="false">IF(OR(ISTEXT(H24),Q24=0),"",IF(Q24&lt;0.1,1,IF(Q24&lt;1,2,IF(Q24&lt;10,3,IF(Q24&lt;50,4,IF(Q24&gt;=50,5,""))))))</f>
        <v>3</v>
      </c>
      <c r="S24" s="215" t="n">
        <f aca="false">IF(ISERROR(R24*I24),0,R24*I24)</f>
        <v>27</v>
      </c>
      <c r="T24" s="215" t="n">
        <f aca="false">IF(ISERROR(R24*I24*J24),0,R24*I24*J24)</f>
        <v>27</v>
      </c>
      <c r="U24" s="226" t="n">
        <f aca="false">IF(ISERROR(R24*J24),0,R24*J24)</f>
        <v>3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IF(A24="new.cod","NEWCOD",IF(AND((Z24=""),ISTEXT(A24)),A24,IF(Z24="","",INDEX('[1]liste reference'!$A$8:$A$904,Z24))))</f>
        <v>NOSSPX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54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0.01</v>
      </c>
      <c r="C25" s="222"/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Oscillatoria sp.</v>
      </c>
      <c r="E25" s="223" t="e">
        <f aca="false">IF(D25="",0,VLOOKUP(D25,D$22:D24,1,0))</f>
        <v>#N/A</v>
      </c>
      <c r="F25" s="224" t="n">
        <f aca="false">($B25*$B$7+$C25*$C$7)/100</f>
        <v>0.01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11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Oscillatoria sp.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1108</v>
      </c>
      <c r="Q25" s="214" t="n">
        <f aca="false">IF(ISTEXT(H25),"",(B25*$B$7/100)+(C25*$C$7/100))</f>
        <v>0.01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11</v>
      </c>
      <c r="T25" s="215" t="n">
        <f aca="false">IF(ISERROR(R25*I25*J25),0,R25*I25*J25)</f>
        <v>11</v>
      </c>
      <c r="U25" s="226" t="n">
        <f aca="false">IF(ISERROR(R25*J25),0,R25*J25)</f>
        <v>1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IF(A25="new.cod","NEWCOD",IF(AND((Z25=""),ISTEXT(A25)),A25,IF(Z25="","",INDEX('[1]liste reference'!$A$8:$A$904,Z25))))</f>
        <v>OSCSPX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56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0.5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Chiloscyphus polyanthos</v>
      </c>
      <c r="E26" s="223" t="e">
        <f aca="false">IF(D26="",0,VLOOKUP(D26,D$22:D25,1,0))</f>
        <v>#N/A</v>
      </c>
      <c r="F26" s="224" t="n">
        <f aca="false">($B26*$B$7+$C26*$C$7)/100</f>
        <v>0.5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BRh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4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15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Chiloscyphus polyanthos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1186</v>
      </c>
      <c r="Q26" s="214" t="n">
        <f aca="false">IF(ISTEXT(H26),"",(B26*$B$7/100)+(C26*$C$7/100))</f>
        <v>0.5</v>
      </c>
      <c r="R26" s="215" t="n">
        <f aca="false">IF(OR(ISTEXT(H26),Q26=0),"",IF(Q26&lt;0.1,1,IF(Q26&lt;1,2,IF(Q26&lt;10,3,IF(Q26&lt;50,4,IF(Q26&gt;=50,5,""))))))</f>
        <v>2</v>
      </c>
      <c r="S26" s="215" t="n">
        <f aca="false">IF(ISERROR(R26*I26),0,R26*I26)</f>
        <v>30</v>
      </c>
      <c r="T26" s="215" t="n">
        <f aca="false">IF(ISERROR(R26*I26*J26),0,R26*I26*J26)</f>
        <v>60</v>
      </c>
      <c r="U26" s="226" t="n">
        <f aca="false">IF(ISERROR(R26*J26),0,R26*J26)</f>
        <v>4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IF(A26="new.cod","NEWCOD",IF(AND((Z26=""),ISTEXT(A26)),A26,IF(Z26="","",INDEX('[1]liste reference'!$A$8:$A$904,Z26))))</f>
        <v>CHIPOL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97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0.02</v>
      </c>
      <c r="C27" s="222"/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Fontinalis antipyretica</v>
      </c>
      <c r="E27" s="223" t="e">
        <f aca="false">IF(D27="",0,VLOOKUP(D27,D$22:D26,1,0))</f>
        <v>#N/A</v>
      </c>
      <c r="F27" s="224" t="n">
        <f aca="false">($B27*$B$7+$C27*$C$7)/100</f>
        <v>0.02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Fontinalis antipyretica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1310</v>
      </c>
      <c r="Q27" s="214" t="n">
        <f aca="false">IF(ISTEXT(H27),"",(B27*$B$7/100)+(C27*$C$7/100))</f>
        <v>0.02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10</v>
      </c>
      <c r="T27" s="215" t="n">
        <f aca="false">IF(ISERROR(R27*I27*J27),0,R27*I27*J27)</f>
        <v>10</v>
      </c>
      <c r="U27" s="226" t="n">
        <f aca="false">IF(ISERROR(R27*J27),0,R27*J27)</f>
        <v>1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IF(A27="new.cod","NEWCOD",IF(AND((Z27=""),ISTEXT(A27)),A27,IF(Z27="","",INDEX('[1]liste reference'!$A$8:$A$904,Z27))))</f>
        <v>FONANT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210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15</v>
      </c>
      <c r="B28" s="221" t="n">
        <v>3</v>
      </c>
      <c r="C28" s="222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Rhynchostegium riparioides</v>
      </c>
      <c r="E28" s="223" t="e">
        <f aca="false">IF(D28="",0,VLOOKUP(D28,D$22:D27,1,0))</f>
        <v>#N/A</v>
      </c>
      <c r="F28" s="224" t="n">
        <f aca="false">($B28*$B$7+$C28*$C$7)/100</f>
        <v>3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Rhynchostegium riparioides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1268</v>
      </c>
      <c r="Q28" s="214" t="n">
        <f aca="false">IF(ISTEXT(H28),"",(B28*$B$7/100)+(C28*$C$7/100))</f>
        <v>3</v>
      </c>
      <c r="R28" s="215" t="n">
        <f aca="false">IF(OR(ISTEXT(H28),Q28=0),"",IF(Q28&lt;0.1,1,IF(Q28&lt;1,2,IF(Q28&lt;10,3,IF(Q28&lt;50,4,IF(Q28&gt;=50,5,""))))))</f>
        <v>3</v>
      </c>
      <c r="S28" s="215" t="n">
        <f aca="false">IF(ISERROR(R28*I28),0,R28*I28)</f>
        <v>36</v>
      </c>
      <c r="T28" s="215" t="n">
        <f aca="false">IF(ISERROR(R28*I28*J28),0,R28*I28*J28)</f>
        <v>36</v>
      </c>
      <c r="U28" s="226" t="n">
        <f aca="false">IF(ISERROR(R28*J28),0,R28*J28)</f>
        <v>3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IF(A28="new.cod","NEWCOD",IF(AND((Z28=""),ISTEXT(A28)),A28,IF(Z28="","",INDEX('[1]liste reference'!$A$8:$A$904,Z28))))</f>
        <v>RHYRIP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252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83</v>
      </c>
      <c r="B29" s="221" t="n">
        <v>0.01</v>
      </c>
      <c r="C29" s="222"/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Agrostis stolonifera</v>
      </c>
      <c r="E29" s="223" t="e">
        <f aca="false">IF(D29="",0,VLOOKUP(D29,D$22:D28,1,0))</f>
        <v>#N/A</v>
      </c>
      <c r="F29" s="224" t="n">
        <f aca="false">($B29*$B$7+$C29*$C$7)/100</f>
        <v>0.01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PHe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8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Agrostis stolonifera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1543</v>
      </c>
      <c r="Q29" s="214" t="n">
        <f aca="false">IF(ISTEXT(H29),"",(B29*$B$7/100)+(C29*$C$7/100))</f>
        <v>0.01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10</v>
      </c>
      <c r="T29" s="215" t="n">
        <f aca="false">IF(ISERROR(R29*I29*J29),0,R29*I29*J29)</f>
        <v>10</v>
      </c>
      <c r="U29" s="226" t="n">
        <f aca="false">IF(ISERROR(R29*J29),0,R29*J29)</f>
        <v>1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IF(A29="new.cod","NEWCOD",IF(AND((Z29=""),ISTEXT(A29)),A29,IF(Z29="","",INDEX('[1]liste reference'!$A$8:$A$904,Z29))))</f>
        <v>AGRSTO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514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84</v>
      </c>
      <c r="B30" s="221" t="n">
        <v>0.01</v>
      </c>
      <c r="C30" s="222"/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Carex rostrata</v>
      </c>
      <c r="E30" s="223" t="e">
        <f aca="false">IF(D30="",0,VLOOKUP(D30,D$22:D29,1,0))</f>
        <v>#N/A</v>
      </c>
      <c r="F30" s="224" t="n">
        <f aca="false">($B30*$B$7+$C30*$C$7)/100</f>
        <v>0.01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15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3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Carex rostrata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1490</v>
      </c>
      <c r="Q30" s="214" t="n">
        <f aca="false">IF(ISTEXT(H30),"",(B30*$B$7/100)+(C30*$C$7/100))</f>
        <v>0.01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15</v>
      </c>
      <c r="T30" s="215" t="n">
        <f aca="false">IF(ISERROR(R30*I30*J30),0,R30*I30*J30)</f>
        <v>45</v>
      </c>
      <c r="U30" s="226" t="n">
        <f aca="false">IF(ISERROR(R30*J30),0,R30*J30)</f>
        <v>3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CARROS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544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85</v>
      </c>
      <c r="B31" s="221" t="n">
        <v>0.02</v>
      </c>
      <c r="C31" s="222"/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Eleocharis palustris</v>
      </c>
      <c r="E31" s="223" t="e">
        <f aca="false">IF(D31="",0,VLOOKUP(D31,D$22:D30,1,0))</f>
        <v>#N/A</v>
      </c>
      <c r="F31" s="224" t="n">
        <f aca="false">($B31*$B$7+$C31*$C$7)/100</f>
        <v>0.02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08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09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09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Eleocharis palustris</v>
      </c>
      <c r="L31" s="225"/>
      <c r="M31" s="225"/>
      <c r="N31" s="225"/>
      <c r="O31" s="212"/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1506</v>
      </c>
      <c r="Q31" s="214" t="n">
        <f aca="false">IF(ISTEXT(H31),"",(B31*$B$7/100)+(C31*$C$7/100))</f>
        <v>0.02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12</v>
      </c>
      <c r="T31" s="215" t="n">
        <f aca="false">IF(ISERROR(R31*I31*J31),0,R31*I31*J31)</f>
        <v>24</v>
      </c>
      <c r="U31" s="226" t="n">
        <f aca="false">IF(ISERROR(R31*J31),0,R31*J31)</f>
        <v>2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>ELEPAL</v>
      </c>
      <c r="Z31" s="9" t="n">
        <f aca="false">IF(ISERROR(MATCH(A31,'[1]liste reference'!$A$8:$A$904,0)),IF(ISERROR(MATCH(A31,'[1]liste reference'!$B$8:$B$904,0)),"",(MATCH(A31,'[1]liste reference'!$B$8:$B$904,0))),(MATCH(A31,'[1]liste reference'!$A$8:$A$904,0)))</f>
        <v>560</v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86</v>
      </c>
      <c r="B32" s="221" t="n">
        <v>0.01</v>
      </c>
      <c r="C32" s="222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Glyceria fluitans</v>
      </c>
      <c r="E32" s="223" t="e">
        <f aca="false">IF(D32="",0,VLOOKUP(D32,D$22:D31,1,0))</f>
        <v>#N/A</v>
      </c>
      <c r="F32" s="224" t="n">
        <f aca="false">($B32*$B$7+$C32*$C$7)/100</f>
        <v>0.01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08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09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14</v>
      </c>
      <c r="J32" s="209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Glyceria fluitans</v>
      </c>
      <c r="L32" s="225"/>
      <c r="M32" s="225"/>
      <c r="N32" s="225"/>
      <c r="O32" s="212"/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1564</v>
      </c>
      <c r="Q32" s="214" t="n">
        <f aca="false">IF(ISTEXT(H32),"",(B32*$B$7/100)+(C32*$C$7/100))</f>
        <v>0.01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14</v>
      </c>
      <c r="T32" s="215" t="n">
        <f aca="false">IF(ISERROR(R32*I32*J32),0,R32*I32*J32)</f>
        <v>28</v>
      </c>
      <c r="U32" s="226" t="n">
        <f aca="false">IF(ISERROR(R32*J32),0,R32*J32)</f>
        <v>2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IF(A32="new.cod","NEWCOD",IF(AND((Z32=""),ISTEXT(A32)),A32,IF(Z32="","",INDEX('[1]liste reference'!$A$8:$A$904,Z32))))</f>
        <v>GLYFLU</v>
      </c>
      <c r="Z32" s="9" t="n">
        <f aca="false">IF(ISERROR(MATCH(A32,'[1]liste reference'!$A$8:$A$904,0)),IF(ISERROR(MATCH(A32,'[1]liste reference'!$B$8:$B$904,0)),"",(MATCH(A32,'[1]liste reference'!$B$8:$B$904,0))),(MATCH(A32,'[1]liste reference'!$A$8:$A$904,0)))</f>
        <v>575</v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87</v>
      </c>
      <c r="B33" s="221" t="n">
        <v>0.01</v>
      </c>
      <c r="C33" s="222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Mentha longifolia</v>
      </c>
      <c r="E33" s="223" t="e">
        <f aca="false">IF(D33="",0,VLOOKUP(D33,D$22:D32,1,0))</f>
        <v>#N/A</v>
      </c>
      <c r="F33" s="224" t="n">
        <f aca="false">($B33*$B$7+$C33*$C$7)/100</f>
        <v>0.01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08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09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09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Mentha longifolia</v>
      </c>
      <c r="L33" s="225"/>
      <c r="M33" s="225"/>
      <c r="N33" s="225"/>
      <c r="O33" s="212"/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19856</v>
      </c>
      <c r="Q33" s="214" t="n">
        <f aca="false">IF(ISTEXT(H33),"",(B33*$B$7/100)+(C33*$C$7/100))</f>
        <v>0.01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>MENLON</v>
      </c>
      <c r="Z33" s="9" t="n">
        <f aca="false">IF(ISERROR(MATCH(A33,'[1]liste reference'!$A$8:$A$904,0)),IF(ISERROR(MATCH(A33,'[1]liste reference'!$B$8:$B$904,0)),"",(MATCH(A33,'[1]liste reference'!$B$8:$B$904,0))),(MATCH(A33,'[1]liste reference'!$A$8:$A$904,0)))</f>
        <v>609</v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88</v>
      </c>
      <c r="B34" s="221" t="n">
        <v>0.01</v>
      </c>
      <c r="C34" s="222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Phalaris arundinacea</v>
      </c>
      <c r="E34" s="223" t="e">
        <f aca="false">IF(D34="",0,VLOOKUP(D34,D$22:D33,1,0))</f>
        <v>#N/A</v>
      </c>
      <c r="F34" s="227" t="n">
        <f aca="false">($B34*$B$7+$C34*$C$7)/100</f>
        <v>0.01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08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09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10</v>
      </c>
      <c r="J34" s="209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Phalaris arundinacea</v>
      </c>
      <c r="L34" s="225"/>
      <c r="M34" s="225"/>
      <c r="N34" s="225"/>
      <c r="O34" s="212"/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1577</v>
      </c>
      <c r="Q34" s="214" t="n">
        <f aca="false">IF(ISTEXT(H34),"",(B34*$B$7/100)+(C34*$C$7/100))</f>
        <v>0.01</v>
      </c>
      <c r="R34" s="215" t="n">
        <f aca="false">IF(OR(ISTEXT(H34),Q34=0),"",IF(Q34&lt;0.1,1,IF(Q34&lt;1,2,IF(Q34&lt;10,3,IF(Q34&lt;50,4,IF(Q34&gt;=50,5,""))))))</f>
        <v>1</v>
      </c>
      <c r="S34" s="215" t="n">
        <f aca="false">IF(ISERROR(R34*I34),0,R34*I34)</f>
        <v>10</v>
      </c>
      <c r="T34" s="215" t="n">
        <f aca="false">IF(ISERROR(R34*I34*J34),0,R34*I34*J34)</f>
        <v>10</v>
      </c>
      <c r="U34" s="226" t="n">
        <f aca="false">IF(ISERROR(R34*J34),0,R34*J34)</f>
        <v>1</v>
      </c>
      <c r="V34" s="216" t="str">
        <f aca="false">IF(AND(A34="",F34=0),"",IF(F34=0,"Il manque le(s) % de rec. !",""))</f>
        <v/>
      </c>
      <c r="W34" s="228"/>
      <c r="Y34" s="215" t="str">
        <f aca="false">IF(A34="new.cod","NEWCOD",IF(AND((Z34=""),ISTEXT(A34)),A34,IF(Z34="","",INDEX('[1]liste reference'!$A$8:$A$904,Z34))))</f>
        <v>PHAARU</v>
      </c>
      <c r="Z34" s="9" t="n">
        <f aca="false">IF(ISERROR(MATCH(A34,'[1]liste reference'!$A$8:$A$904,0)),IF(ISERROR(MATCH(A34,'[1]liste reference'!$B$8:$B$904,0)),"",(MATCH(A34,'[1]liste reference'!$B$8:$B$904,0))),(MATCH(A34,'[1]liste reference'!$A$8:$A$904,0)))</f>
        <v>634</v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89</v>
      </c>
      <c r="B35" s="221" t="n">
        <v>0.05</v>
      </c>
      <c r="C35" s="222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Sparganium erectum</v>
      </c>
      <c r="E35" s="223" t="e">
        <f aca="false">IF(D35="",0,VLOOKUP(D35,D$22:D34,1,0))</f>
        <v>#N/A</v>
      </c>
      <c r="F35" s="227" t="n">
        <f aca="false">($B35*$B$7+$C35*$C$7)/100</f>
        <v>0.05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PHe</v>
      </c>
      <c r="H35" s="208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8</v>
      </c>
      <c r="I35" s="209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10</v>
      </c>
      <c r="J35" s="209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Sparganium erectum</v>
      </c>
      <c r="L35" s="225"/>
      <c r="M35" s="225"/>
      <c r="N35" s="225"/>
      <c r="O35" s="212"/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1671</v>
      </c>
      <c r="Q35" s="214" t="n">
        <f aca="false">IF(ISTEXT(H35),"",(B35*$B$7/100)+(C35*$C$7/100))</f>
        <v>0.05</v>
      </c>
      <c r="R35" s="215" t="n">
        <f aca="false">IF(OR(ISTEXT(H35),Q35=0),"",IF(Q35&lt;0.1,1,IF(Q35&lt;1,2,IF(Q35&lt;10,3,IF(Q35&lt;50,4,IF(Q35&gt;=50,5,""))))))</f>
        <v>1</v>
      </c>
      <c r="S35" s="215" t="n">
        <f aca="false">IF(ISERROR(R35*I35),0,R35*I35)</f>
        <v>10</v>
      </c>
      <c r="T35" s="215" t="n">
        <f aca="false">IF(ISERROR(R35*I35*J35),0,R35*I35*J35)</f>
        <v>10</v>
      </c>
      <c r="U35" s="226" t="n">
        <f aca="false">IF(ISERROR(R35*J35),0,R35*J35)</f>
        <v>1</v>
      </c>
      <c r="V35" s="216" t="str">
        <f aca="false">IF(AND(A35="",F35=0),"",IF(F35=0,"Il manque le(s) % de rec. !",""))</f>
        <v/>
      </c>
      <c r="W35" s="217"/>
      <c r="X35" s="217"/>
      <c r="Y35" s="215" t="str">
        <f aca="false">IF(A35="new.cod","NEWCOD",IF(AND((Z35=""),ISTEXT(A35)),A35,IF(Z35="","",INDEX('[1]liste reference'!$A$8:$A$904,Z35))))</f>
        <v>SPAERE</v>
      </c>
      <c r="Z35" s="9" t="n">
        <f aca="false">IF(ISERROR(MATCH(A35,'[1]liste reference'!$A$8:$A$904,0)),IF(ISERROR(MATCH(A35,'[1]liste reference'!$B$8:$B$904,0)),"",(MATCH(A35,'[1]liste reference'!$B$8:$B$904,0))),(MATCH(A35,'[1]liste reference'!$A$8:$A$904,0)))</f>
        <v>668</v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90</v>
      </c>
      <c r="B36" s="221" t="n">
        <v>0.01</v>
      </c>
      <c r="C36" s="222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Cyperus eragrostis</v>
      </c>
      <c r="E36" s="223" t="e">
        <f aca="false">IF(D36="",0,VLOOKUP(D36,D$22:D35,1,0))</f>
        <v>#N/A</v>
      </c>
      <c r="F36" s="227" t="n">
        <f aca="false">($B36*$B$7+$C36*$C$7)/100</f>
        <v>0.01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PHg</v>
      </c>
      <c r="H36" s="208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9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Cyperus eragrostis</v>
      </c>
      <c r="L36" s="225"/>
      <c r="M36" s="225"/>
      <c r="N36" s="225"/>
      <c r="O36" s="212"/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19611</v>
      </c>
      <c r="Q36" s="214" t="n">
        <f aca="false">IF(ISTEXT(H36),"",(B36*$B$7/100)+(C36*$C$7/100))</f>
        <v>0.01</v>
      </c>
      <c r="R36" s="215" t="n">
        <f aca="false">IF(OR(ISTEXT(H36),Q36=0),"",IF(Q36&lt;0.1,1,IF(Q36&lt;1,2,IF(Q36&lt;10,3,IF(Q36&lt;50,4,IF(Q36&gt;=50,5,""))))))</f>
        <v>1</v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>CYPERA</v>
      </c>
      <c r="Z36" s="9" t="n">
        <f aca="false">IF(ISERROR(MATCH(A36,'[1]liste reference'!$A$8:$A$904,0)),IF(ISERROR(MATCH(A36,'[1]liste reference'!$B$8:$B$904,0)),"",(MATCH(A36,'[1]liste reference'!$B$8:$B$904,0))),(MATCH(A36,'[1]liste reference'!$A$8:$A$904,0)))</f>
        <v>723</v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27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IF(A37="new.cod","NEWCOD",IF(AND((Z37=""),ISTEXT(A37)),A37,IF(Z37="","",INDEX('[1]liste reference'!$A$8:$A$904,Z37))))</f>
        <v/>
      </c>
      <c r="Z37" s="9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7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7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7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7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7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7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7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IF(D45="",0,VLOOKUP(D45,D$22:D38,1,0))</f>
        <v>0</v>
      </c>
      <c r="F45" s="227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IF(D46="",0,VLOOKUP(D46,D$22:D38,1,0))</f>
        <v>0</v>
      </c>
      <c r="F46" s="227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7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IF(D48="",0,VLOOKUP(D48,D$22:D47,1,0))</f>
        <v>0</v>
      </c>
      <c r="F48" s="227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7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7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7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7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7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7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7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IF(D56="",0,VLOOKUP(D56,D$21:D55,1,0))</f>
        <v>0</v>
      </c>
      <c r="F56" s="227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X56" s="229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IF(D57="",0,VLOOKUP(D57,D$22:D56,1,0))</f>
        <v>0</v>
      </c>
      <c r="F57" s="227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7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30"/>
      <c r="M58" s="230"/>
      <c r="N58" s="230"/>
      <c r="O58" s="212"/>
      <c r="P58" s="231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7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7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25"/>
      <c r="M60" s="225"/>
      <c r="N60" s="225"/>
      <c r="O60" s="212"/>
      <c r="P60" s="21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7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X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7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7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7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7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7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7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7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7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7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7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7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7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7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7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7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7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7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7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7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7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EPIE</v>
      </c>
      <c r="B84" s="256" t="str">
        <f aca="false">C3</f>
        <v>ORADOUR</v>
      </c>
      <c r="C84" s="257" t="n">
        <f aca="false">A4</f>
        <v>41480</v>
      </c>
      <c r="D84" s="258" t="n">
        <f aca="false">IF(ISERROR(SUM($T$23:$T$82)/SUM($U$23:$U$82)),"",SUM($T$23:$T$82)/SUM($U$23:$U$82))</f>
        <v>12.7307692307692</v>
      </c>
      <c r="E84" s="259" t="n">
        <f aca="false">N13</f>
        <v>14</v>
      </c>
      <c r="F84" s="256" t="n">
        <f aca="false">N14</f>
        <v>12</v>
      </c>
      <c r="G84" s="256" t="n">
        <f aca="false">N15</f>
        <v>7</v>
      </c>
      <c r="H84" s="256" t="n">
        <f aca="false">N16</f>
        <v>4</v>
      </c>
      <c r="I84" s="256" t="n">
        <f aca="false">N17</f>
        <v>1</v>
      </c>
      <c r="J84" s="260" t="n">
        <f aca="false">N8</f>
        <v>11.9166666666667</v>
      </c>
      <c r="K84" s="258" t="n">
        <f aca="false">N9</f>
        <v>2.17785572422866</v>
      </c>
      <c r="L84" s="259" t="n">
        <f aca="false">N10</f>
        <v>9</v>
      </c>
      <c r="M84" s="259" t="n">
        <f aca="false">N11</f>
        <v>15</v>
      </c>
      <c r="N84" s="258" t="n">
        <f aca="false">O8</f>
        <v>1.5</v>
      </c>
      <c r="O84" s="258" t="n">
        <f aca="false">O9</f>
        <v>0.645497224367903</v>
      </c>
      <c r="P84" s="259" t="n">
        <f aca="false">O10</f>
        <v>1</v>
      </c>
      <c r="Q84" s="259" t="n">
        <f aca="false">O11</f>
        <v>3</v>
      </c>
      <c r="R84" s="259" t="n">
        <f aca="false">F21</f>
        <v>5.91</v>
      </c>
      <c r="S84" s="259" t="n">
        <f aca="false">K11</f>
        <v>0</v>
      </c>
      <c r="T84" s="259" t="n">
        <f aca="false">K12</f>
        <v>3</v>
      </c>
      <c r="U84" s="259" t="n">
        <f aca="false">K13</f>
        <v>3</v>
      </c>
      <c r="V84" s="261" t="n">
        <f aca="false">K14</f>
        <v>0</v>
      </c>
      <c r="W84" s="262" t="n">
        <f aca="false">K15</f>
        <v>8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36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36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3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n">
        <f aca="false">IF(ISERROR(SUM($T$23:$T$82)/SUM($U$23:$U$82)),"",(SUM($T$23:$T$82)-S88)/(SUM($U$23:$U$82)-S89))</f>
        <v>12.8260869565217</v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str">
        <f aca="false">INDEX('[1]liste reference'!$A$8:$A$904,$T$91)</f>
        <v>RHYRIP</v>
      </c>
      <c r="T91" s="9" t="n">
        <f aca="false">IF(ISERROR(MATCH($S$93,'[1]liste reference'!$A$8:$A$904,0)),MATCH($S$93,'[1]liste reference'!$B$8:$B$904,0),(MATCH($S$93,'[1]liste reference'!$A$8:$A$904,0)))</f>
        <v>252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6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RHYRIP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4">
    <cfRule type="cellIs" priority="28" operator="between" aboveAverage="0" equalAverage="0" bottom="0" percent="0" rank="0" text="" dxfId="26">
      <formula>"(Date)"</formula>
      <formula>"(Date)"</formula>
    </cfRule>
    <cfRule type="cellIs" priority="29" operator="notBetween" aboveAverage="0" equalAverage="0" bottom="0" percent="0" rank="0" text="" dxfId="27">
      <formula>"(Date)"</formula>
      <formula>"(Date)"</formula>
    </cfRule>
  </conditionalFormatting>
  <conditionalFormatting sqref="A4">
    <cfRule type="cellIs" priority="30" operator="between" aboveAverage="0" equalAverage="0" bottom="0" percent="0" rank="0" text="" dxfId="28">
      <formula>"(Date)"</formula>
      <formula>"(Date)"</formula>
    </cfRule>
    <cfRule type="cellIs" priority="31" operator="notBetween" aboveAverage="0" equalAverage="0" bottom="0" percent="0" rank="0" text="" dxfId="29">
      <formula>"(Date)"</formula>
      <formula>"(Date)"</formula>
    </cfRule>
  </conditionalFormatting>
  <conditionalFormatting sqref="A4">
    <cfRule type="cellIs" priority="32" operator="between" aboveAverage="0" equalAverage="0" bottom="0" percent="0" rank="0" text="" dxfId="30">
      <formula>"(Date)"</formula>
      <formula>"(Date)"</formula>
    </cfRule>
    <cfRule type="cellIs" priority="33" operator="notBetween" aboveAverage="0" equalAverage="0" bottom="0" percent="0" rank="0" text="" dxfId="31">
      <formula>"(Date)"</formula>
      <formula>"(Date)"</formula>
    </cfRule>
  </conditionalFormatting>
  <conditionalFormatting sqref="A4">
    <cfRule type="cellIs" priority="34" operator="between" aboveAverage="0" equalAverage="0" bottom="0" percent="0" rank="0" text="" dxfId="32">
      <formula>"(Date)"</formula>
      <formula>"(Date)"</formula>
    </cfRule>
    <cfRule type="cellIs" priority="35" operator="notBetween" aboveAverage="0" equalAverage="0" bottom="0" percent="0" rank="0" text="" dxfId="33">
      <formula>"(Date)"</formula>
      <formula>"(Date)"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2024-04-30T10:26:48Z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