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6" sheetId="1" state="visible" r:id="rId3"/>
  </sheets>
  <externalReferences>
    <externalReference r:id="rId4"/>
  </externalReferences>
  <definedNames>
    <definedName function="false" hidden="false" localSheetId="0" name="Excel_BuiltIn_Print_Area" vbProcedure="false">'56'!$A$1:$O$37</definedName>
    <definedName function="false" hidden="false" localSheetId="0" name="Excel_BuiltIn__FilterDatabase" vbProcedure="false">'56'!$A$23:$J$84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<sst xmlns="http://schemas.openxmlformats.org/spreadsheetml/2006/main" count="105" uniqueCount="100">
  <si>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</si>
  <si>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</si>
  <si>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</si>
  <si>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</si>
  <si>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EPIE</t>
  </si>
  <si>
    <t xml:space="preserve">ORADOUR</t>
  </si>
  <si>
    <t xml:space="preserve">05096400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</si>
  <si>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</si>
  <si>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</si>
  <si>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</si>
  <si>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</si>
  <si>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</si>
  <si>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</si>
  <si>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</si>
  <si>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</si>
  <si>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</si>
  <si>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</si>
  <si>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</si>
  <si>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</si>
  <si>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</si>
  <si>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</si>
  <si>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</si>
  <si>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</si>
  <si>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</si>
  <si>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</si>
  <si>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</si>
  <si>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</si>
  <si>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</si>
  <si>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</si>
  <si>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</si>
  <si>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</si>
  <si>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</si>
  <si>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</si>
  <si>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</si>
  <si>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</si>
  <si>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</si>
  <si>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</si>
  <si>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</si>
  <si>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</si>
  <si>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</si>
  <si>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</si>
  <si>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</si>
  <si>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</si>
  <si>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</si>
  <si>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</si>
  <si>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</si>
  <si>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</si>
  <si>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</si>
  <si>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</si>
  <si>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</si>
  <si>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</si>
  <si>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</si>
  <si>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</si>
  <si>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</si>
  <si>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(100 %) et</t>
  </si>
  <si>
    <t xml:space="preserve">rec. pondéré</t>
  </si>
  <si>
    <t xml:space="preserve">voir aussi colonne BB</t>
  </si>
  <si>
    <t xml:space="preserve"> rec. par taxa (3,43 %)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</si>
  <si>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</si>
  <si>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</si>
  <si>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</si>
  <si>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</si>
  <si>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</si>
  <si>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</si>
  <si>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</si>
  <si>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</si>
  <si>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</si>
  <si>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</si>
  <si>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</si>
  <si>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</si>
  <si>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</si>
  <si>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</si>
  <si>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</si>
  <si>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</si>
  <si>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</si>
  <si>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</si>
  <si>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</si>
  <si>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HILSPX</t>
  </si>
  <si>
    <t xml:space="preserve">LEASPX</t>
  </si>
  <si>
    <t xml:space="preserve">NOSSPX</t>
  </si>
  <si>
    <t xml:space="preserve">FONANT</t>
  </si>
  <si>
    <t xml:space="preserve">RHYRIP</t>
  </si>
  <si>
    <t xml:space="preserve">EQUFLU</t>
  </si>
  <si>
    <t xml:space="preserve">AGRSTO</t>
  </si>
  <si>
    <t xml:space="preserve">CARVES</t>
  </si>
  <si>
    <t xml:space="preserve">ELEPAL</t>
  </si>
  <si>
    <t xml:space="preserve">GLYFLU</t>
  </si>
  <si>
    <t xml:space="preserve">MENLON</t>
  </si>
  <si>
    <t xml:space="preserve">PHAARU</t>
  </si>
  <si>
    <t xml:space="preserve">SCISYL</t>
  </si>
  <si>
    <t xml:space="preserve">SPAERE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</si>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</sst>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4_Mphyt_14.01_IBMR-ADOUR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41863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12.3823529411765</v>
      </c>
      <c r="M5" s="52"/>
      <c r="N5" s="53" t="s">
        <v>15</v>
      </c>
      <c r="O5" s="54" t="n">
        <v>11.8214285714286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/>
      <c r="D6" s="45"/>
      <c r="E6" s="45"/>
      <c r="F6" s="46"/>
      <c r="G6" s="47"/>
      <c r="H6" s="45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24</v>
      </c>
      <c r="B8" s="78"/>
      <c r="C8" s="78"/>
      <c r="D8" s="67"/>
      <c r="E8" s="67"/>
      <c r="F8" s="79" t="s">
        <v>25</v>
      </c>
      <c r="G8" s="80"/>
      <c r="H8" s="81"/>
      <c r="I8" s="70"/>
      <c r="J8" s="71"/>
      <c r="K8" s="72"/>
      <c r="L8" s="73"/>
      <c r="M8" s="82" t="s">
        <v>26</v>
      </c>
      <c r="N8" s="83" t="n">
        <f aca="false">IF(ISERROR(AVERAGE(I23:I82)),"     -",AVERAGE(I23:I82))</f>
        <v>11.8571428571429</v>
      </c>
      <c r="O8" s="83" t="n">
        <f aca="false">IF(ISERROR(AVERAGE(J23:J82)),"      -",AVERAGE(J23:J82))</f>
        <v>1.57142857142857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27</v>
      </c>
      <c r="B9" s="85" t="n">
        <v>3.5</v>
      </c>
      <c r="C9" s="86"/>
      <c r="D9" s="87"/>
      <c r="E9" s="87"/>
      <c r="F9" s="88" t="n">
        <f aca="false">($B9*$B$7+$C9*$C$7)/100</f>
        <v>3.5</v>
      </c>
      <c r="G9" s="89"/>
      <c r="H9" s="90"/>
      <c r="I9" s="91"/>
      <c r="J9" s="92"/>
      <c r="K9" s="72"/>
      <c r="L9" s="93"/>
      <c r="M9" s="82" t="s">
        <v>28</v>
      </c>
      <c r="N9" s="83" t="n">
        <f aca="false">IF(ISERROR(STDEVP(I23:I82)),"     -",STDEVP(I23:I82))</f>
        <v>2.06526175640014</v>
      </c>
      <c r="O9" s="83" t="n">
        <f aca="false">IF(ISERROR(STDEVP(J23:J82)),"      -",STDEVP(J23:J82))</f>
        <v>0.494871659305394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29</v>
      </c>
      <c r="B10" s="97"/>
      <c r="C10" s="98"/>
      <c r="D10" s="99"/>
      <c r="E10" s="99"/>
      <c r="F10" s="88"/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9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15</v>
      </c>
      <c r="O11" s="105" t="n">
        <f aca="false">MAX(J23:J82)</f>
        <v>2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35</v>
      </c>
      <c r="B12" s="117" t="n">
        <f aca="false">116/3.43</f>
        <v>33.8192419825073</v>
      </c>
      <c r="C12" s="118"/>
      <c r="D12" s="110"/>
      <c r="E12" s="110"/>
      <c r="F12" s="111" t="n">
        <f aca="false">($B12*$B$7+$C12*$C$7)/100</f>
        <v>33.8192419825073</v>
      </c>
      <c r="G12" s="119"/>
      <c r="H12" s="67"/>
      <c r="I12" s="120" t="s">
        <v>36</v>
      </c>
      <c r="J12" s="120"/>
      <c r="K12" s="114" t="n">
        <f aca="false">COUNTIF($G$23:$G$82,"=ALG")</f>
        <v>3</v>
      </c>
      <c r="L12" s="121"/>
      <c r="M12" s="122"/>
      <c r="N12" s="123" t="s">
        <v>30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37</v>
      </c>
      <c r="B13" s="117" t="n">
        <f aca="false">165/3.43</f>
        <v>48.1049562682216</v>
      </c>
      <c r="C13" s="118"/>
      <c r="D13" s="110"/>
      <c r="E13" s="110"/>
      <c r="F13" s="111" t="n">
        <f aca="false">($B13*$B$7+$C13*$C$7)/100</f>
        <v>48.1049562682216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3</v>
      </c>
      <c r="L13" s="115"/>
      <c r="M13" s="126" t="s">
        <v>39</v>
      </c>
      <c r="N13" s="127" t="n">
        <f aca="false">COUNTIF(F23:F82,"&gt;0")</f>
        <v>15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40</v>
      </c>
      <c r="B14" s="117" t="n">
        <f aca="false">1/3.43</f>
        <v>0.291545189504373</v>
      </c>
      <c r="C14" s="118"/>
      <c r="D14" s="110"/>
      <c r="E14" s="110"/>
      <c r="F14" s="111" t="n">
        <f aca="false">($B14*$B$7+$C14*$C$7)/100</f>
        <v>0.291545189504373</v>
      </c>
      <c r="G14" s="119"/>
      <c r="H14" s="67"/>
      <c r="I14" s="120" t="s">
        <v>41</v>
      </c>
      <c r="J14" s="120"/>
      <c r="K14" s="114" t="n">
        <f aca="false">COUNTIF($G$23:$G$82,"=PTE")+COUNTIF($G$23:$G$82,"=LIC")</f>
        <v>1</v>
      </c>
      <c r="L14" s="115"/>
      <c r="M14" s="130" t="s">
        <v>42</v>
      </c>
      <c r="N14" s="131" t="n">
        <f aca="false">COUNTIF($I$23:$I$82,"&gt;-1")</f>
        <v>14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43</v>
      </c>
      <c r="B15" s="134" t="n">
        <f aca="false">100-B12-B13-B14</f>
        <v>17.7842565597668</v>
      </c>
      <c r="C15" s="135"/>
      <c r="D15" s="110"/>
      <c r="E15" s="110"/>
      <c r="F15" s="111" t="n">
        <f aca="false">($B15*$B$7+$C15*$C$7)/100</f>
        <v>17.7842565597668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8</v>
      </c>
      <c r="L15" s="115"/>
      <c r="M15" s="136" t="s">
        <v>45</v>
      </c>
      <c r="N15" s="137" t="n">
        <f aca="false">COUNTIF(J23:J82,"=1")</f>
        <v>6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47</v>
      </c>
      <c r="N16" s="137" t="n">
        <f aca="false">COUNTIF(J23:J82,"=2")</f>
        <v>8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48</v>
      </c>
      <c r="B17" s="117" t="n">
        <f aca="false">281/3.43</f>
        <v>81.9241982507289</v>
      </c>
      <c r="C17" s="118"/>
      <c r="D17" s="110"/>
      <c r="E17" s="110"/>
      <c r="F17" s="142"/>
      <c r="G17" s="111" t="n">
        <f aca="false">($B17*$B$7+$C17*$C$7)/100</f>
        <v>81.9241982507289</v>
      </c>
      <c r="H17" s="67"/>
      <c r="I17" s="120"/>
      <c r="J17" s="120"/>
      <c r="K17" s="141"/>
      <c r="L17" s="115"/>
      <c r="M17" s="136" t="s">
        <v>49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50</v>
      </c>
      <c r="B18" s="144" t="n">
        <f aca="false">100-B17</f>
        <v>18.0758017492711</v>
      </c>
      <c r="C18" s="145"/>
      <c r="D18" s="110"/>
      <c r="E18" s="146" t="s">
        <v>51</v>
      </c>
      <c r="F18" s="142"/>
      <c r="G18" s="111" t="n">
        <f aca="false">($B18*$B$7+$C18*$C$7)/100</f>
        <v>18.0758017492711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100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52</v>
      </c>
      <c r="B20" s="164" t="n">
        <f aca="false">SUM(B23:B82)</f>
        <v>3.43</v>
      </c>
      <c r="C20" s="165" t="n">
        <f aca="false">SUM(C23:C82)</f>
        <v>0</v>
      </c>
      <c r="D20" s="166"/>
      <c r="E20" s="167" t="s">
        <v>51</v>
      </c>
      <c r="F20" s="168" t="n">
        <f aca="false">($B20*$B$7+$C20*$C$7)/100</f>
        <v>3.43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53</v>
      </c>
      <c r="R20" s="9"/>
      <c r="S20" s="9"/>
      <c r="T20" s="9"/>
      <c r="U20" s="9"/>
      <c r="V20" s="9"/>
      <c r="W20" s="149" t="s">
        <v>54</v>
      </c>
    </row>
    <row r="21" customFormat="false" ht="12.75" hidden="false" customHeight="false" outlineLevel="0" collapsed="false">
      <c r="A21" s="177" t="s">
        <v>55</v>
      </c>
      <c r="B21" s="178" t="n">
        <f aca="false">B20*B7/100</f>
        <v>3.43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(3,43 %) supérieur à 20 % !</v>
      </c>
      <c r="E21" s="179" t="str">
        <f aca="false">IF(F21=0,"",IF((ABS(F21-F19))&gt;(0.2*F21),CONCATENATE("ATTENTION : écart entre rec. par grp (",F19," %) ","et",""),""))</f>
        <v>ATTENTION : écart entre rec. par grp (100 %) et</v>
      </c>
      <c r="F21" s="180" t="n">
        <f aca="false">B21+C21</f>
        <v>3.43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9"/>
      <c r="S21" s="9"/>
      <c r="T21" s="9"/>
      <c r="U21" s="9"/>
      <c r="V21" s="9"/>
      <c r="W21" s="149" t="s">
        <v>57</v>
      </c>
    </row>
    <row r="22" customFormat="false" ht="12.75" hidden="false" customHeight="false" outlineLevel="0" collapsed="false">
      <c r="A22" s="188" t="s">
        <v>58</v>
      </c>
      <c r="B22" s="189" t="s">
        <v>59</v>
      </c>
      <c r="C22" s="190" t="s">
        <v>59</v>
      </c>
      <c r="D22" s="139"/>
      <c r="E22" s="139"/>
      <c r="F22" s="191" t="s">
        <v>60</v>
      </c>
      <c r="G22" s="192" t="s">
        <v>61</v>
      </c>
      <c r="H22" s="139"/>
      <c r="I22" s="193" t="s">
        <v>62</v>
      </c>
      <c r="J22" s="193" t="s">
        <v>63</v>
      </c>
      <c r="K22" s="194" t="s">
        <v>64</v>
      </c>
      <c r="L22" s="194"/>
      <c r="M22" s="194"/>
      <c r="N22" s="194"/>
      <c r="O22" s="194"/>
      <c r="P22" s="195" t="s">
        <v>65</v>
      </c>
      <c r="Q22" s="196" t="s">
        <v>66</v>
      </c>
      <c r="R22" s="197" t="s">
        <v>67</v>
      </c>
      <c r="S22" s="198" t="s">
        <v>68</v>
      </c>
      <c r="T22" s="199" t="s">
        <v>69</v>
      </c>
      <c r="U22" s="200" t="s">
        <v>70</v>
      </c>
      <c r="V22" s="198" t="s">
        <v>71</v>
      </c>
      <c r="Y22" s="9" t="s">
        <v>72</v>
      </c>
      <c r="Z22" s="9" t="s">
        <v>73</v>
      </c>
      <c r="AA22" s="201" t="s">
        <v>74</v>
      </c>
      <c r="AB22" s="201" t="s">
        <v>75</v>
      </c>
      <c r="AC22" s="201" t="s">
        <v>76</v>
      </c>
    </row>
    <row r="23" customFormat="false" ht="12.75" hidden="false" customHeight="false" outlineLevel="0" collapsed="false">
      <c r="A23" s="202" t="s">
        <v>77</v>
      </c>
      <c r="B23" s="203" t="n">
        <v>0.01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Hildenbrandia sp.</v>
      </c>
      <c r="E23" s="205" t="e">
        <f aca="false">IF(D23="",0,VLOOKUP(D23,D$22:D22,1,0))</f>
        <v>#N/A</v>
      </c>
      <c r="F23" s="206" t="n">
        <f aca="false">($B23*$B$7+$C23*$C$7)/100</f>
        <v>0.01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Hildenbrandia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1157</v>
      </c>
      <c r="Q23" s="214" t="n">
        <f aca="false">IF(ISTEXT(H23),"",(B23*$B$7/100)+(C23*$C$7/100))</f>
        <v>0.01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15</v>
      </c>
      <c r="T23" s="215" t="n">
        <f aca="false">IF(ISERROR(R23*I23*J23),0,R23*I23*J23)</f>
        <v>30</v>
      </c>
      <c r="U23" s="215" t="n">
        <f aca="false">IF(ISERROR(R23*J23),0,R23*J23)</f>
        <v>2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HILSPX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30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78</v>
      </c>
      <c r="B24" s="221" t="n">
        <v>0.15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3" t="e">
        <f aca="false">IF(D24="",0,VLOOKUP(D24,D$22:D23,1,0))</f>
        <v>#N/A</v>
      </c>
      <c r="F24" s="224" t="n">
        <f aca="false">($B24*$B$7+$C24*$C$7)/100</f>
        <v>0.15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4" t="n">
        <f aca="false">IF(ISTEXT(H24),"",(B24*$B$7/100)+(C24*$C$7/100))</f>
        <v>0.15</v>
      </c>
      <c r="R24" s="215" t="n">
        <f aca="false">IF(OR(ISTEXT(H24),Q24=0),"",IF(Q24&lt;0.1,1,IF(Q24&lt;1,2,IF(Q24&lt;10,3,IF(Q24&lt;50,4,IF(Q24&gt;=50,5,""))))))</f>
        <v>2</v>
      </c>
      <c r="S24" s="215" t="n">
        <f aca="false">IF(ISERROR(R24*I24),0,R24*I24)</f>
        <v>30</v>
      </c>
      <c r="T24" s="215" t="n">
        <f aca="false">IF(ISERROR(R24*I24*J24),0,R24*I24*J24)</f>
        <v>60</v>
      </c>
      <c r="U24" s="226" t="n">
        <f aca="false">IF(ISERROR(R24*J24),0,R24*J24)</f>
        <v>4</v>
      </c>
      <c r="V24" s="216" t="str">
        <f aca="false">IF(AND(A24="",F24=0),"",IF(F24=0,"Il manque le(s) % de rec. !",""))</f>
        <v/>
      </c>
      <c r="W24" s="227"/>
      <c r="Y24" s="215" t="str">
        <f aca="false">IF(A24="new.cod","NEWCOD",IF(AND((Z24=""),ISTEXT(A24)),A24,IF(Z24="","",INDEX('[1]liste reference'!$A$8:$A$904,Z24))))</f>
        <v>LEASPX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79</v>
      </c>
      <c r="B25" s="221" t="n">
        <v>1</v>
      </c>
      <c r="C25" s="222"/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Nostoc sp.</v>
      </c>
      <c r="E25" s="223" t="e">
        <f aca="false">IF(D25="",0,VLOOKUP(D25,D$22:D24,1,0))</f>
        <v>#N/A</v>
      </c>
      <c r="F25" s="224" t="n">
        <f aca="false">($B25*$B$7+$C25*$C$7)/100</f>
        <v>1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9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Nostoc sp.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1105</v>
      </c>
      <c r="Q25" s="214" t="n">
        <f aca="false">IF(ISTEXT(H25),"",(B25*$B$7/100)+(C25*$C$7/100))</f>
        <v>1</v>
      </c>
      <c r="R25" s="215" t="n">
        <f aca="false">IF(OR(ISTEXT(H25),Q25=0),"",IF(Q25&lt;0.1,1,IF(Q25&lt;1,2,IF(Q25&lt;10,3,IF(Q25&lt;50,4,IF(Q25&gt;=50,5,""))))))</f>
        <v>3</v>
      </c>
      <c r="S25" s="215" t="n">
        <f aca="false">IF(ISERROR(R25*I25),0,R25*I25)</f>
        <v>27</v>
      </c>
      <c r="T25" s="215" t="n">
        <f aca="false">IF(ISERROR(R25*I25*J25),0,R25*I25*J25)</f>
        <v>27</v>
      </c>
      <c r="U25" s="226" t="n">
        <f aca="false">IF(ISERROR(R25*J25),0,R25*J25)</f>
        <v>3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IF(A25="new.cod","NEWCOD",IF(AND((Z25=""),ISTEXT(A25)),A25,IF(Z25="","",INDEX('[1]liste reference'!$A$8:$A$904,Z25))))</f>
        <v>NOSSPX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54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15</v>
      </c>
      <c r="B26" s="221" t="n">
        <v>1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Chiloscyphus polyanthos</v>
      </c>
      <c r="E26" s="223" t="e">
        <f aca="false">IF(D26="",0,VLOOKUP(D26,D$22:D25,1,0))</f>
        <v>#N/A</v>
      </c>
      <c r="F26" s="224" t="n">
        <f aca="false">($B26*$B$7+$C26*$C$7)/100</f>
        <v>1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Chiloscyphus polyanthos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1186</v>
      </c>
      <c r="Q26" s="214" t="n">
        <f aca="false">IF(ISTEXT(H26),"",(B26*$B$7/100)+(C26*$C$7/100))</f>
        <v>1</v>
      </c>
      <c r="R26" s="215" t="n">
        <f aca="false">IF(OR(ISTEXT(H26),Q26=0),"",IF(Q26&lt;0.1,1,IF(Q26&lt;1,2,IF(Q26&lt;10,3,IF(Q26&lt;50,4,IF(Q26&gt;=50,5,""))))))</f>
        <v>3</v>
      </c>
      <c r="S26" s="215" t="n">
        <f aca="false">IF(ISERROR(R26*I26),0,R26*I26)</f>
        <v>45</v>
      </c>
      <c r="T26" s="215" t="n">
        <f aca="false">IF(ISERROR(R26*I26*J26),0,R26*I26*J26)</f>
        <v>90</v>
      </c>
      <c r="U26" s="226" t="n">
        <f aca="false">IF(ISERROR(R26*J26),0,R26*J26)</f>
        <v>6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CHIPOL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97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80</v>
      </c>
      <c r="B27" s="221" t="n">
        <v>0.05</v>
      </c>
      <c r="C27" s="222"/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Fontinalis antipyretica</v>
      </c>
      <c r="E27" s="223" t="e">
        <f aca="false">IF(D27="",0,VLOOKUP(D27,D$22:D26,1,0))</f>
        <v>#N/A</v>
      </c>
      <c r="F27" s="224" t="n">
        <f aca="false">($B27*$B$7+$C27*$C$7)/100</f>
        <v>0.05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Fontinalis antipyretica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1310</v>
      </c>
      <c r="Q27" s="214" t="n">
        <f aca="false">IF(ISTEXT(H27),"",(B27*$B$7/100)+(C27*$C$7/100))</f>
        <v>0.05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10</v>
      </c>
      <c r="T27" s="215" t="n">
        <f aca="false">IF(ISERROR(R27*I27*J27),0,R27*I27*J27)</f>
        <v>10</v>
      </c>
      <c r="U27" s="226" t="n">
        <f aca="false">IF(ISERROR(R27*J27),0,R27*J27)</f>
        <v>1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FONANT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210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81</v>
      </c>
      <c r="B28" s="221" t="n">
        <v>0.6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Rhynchostegium riparioides</v>
      </c>
      <c r="E28" s="223" t="e">
        <f aca="false">IF(D28="",0,VLOOKUP(D28,D$22:D27,1,0))</f>
        <v>#N/A</v>
      </c>
      <c r="F28" s="224" t="n">
        <f aca="false">($B28*$B$7+$C28*$C$7)/100</f>
        <v>0.6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Rhynchostegium riparioides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4" t="n">
        <f aca="false">IF(ISTEXT(H28),"",(B28*$B$7/100)+(C28*$C$7/100))</f>
        <v>0.6</v>
      </c>
      <c r="R28" s="215" t="n">
        <f aca="false">IF(OR(ISTEXT(H28),Q28=0),"",IF(Q28&lt;0.1,1,IF(Q28&lt;1,2,IF(Q28&lt;10,3,IF(Q28&lt;50,4,IF(Q28&gt;=50,5,""))))))</f>
        <v>2</v>
      </c>
      <c r="S28" s="215" t="n">
        <f aca="false">IF(ISERROR(R28*I28),0,R28*I28)</f>
        <v>24</v>
      </c>
      <c r="T28" s="215" t="n">
        <f aca="false">IF(ISERROR(R28*I28*J28),0,R28*I28*J28)</f>
        <v>24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RHYRIP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252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82</v>
      </c>
      <c r="B29" s="221" t="n">
        <v>0.01</v>
      </c>
      <c r="C29" s="222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Equisetum fluviatile</v>
      </c>
      <c r="E29" s="223" t="e">
        <f aca="false">IF(D29="",0,VLOOKUP(D29,D$22:D28,1,0))</f>
        <v>#N/A</v>
      </c>
      <c r="F29" s="224" t="n">
        <f aca="false">($B29*$B$7+$C29*$C$7)/100</f>
        <v>0.01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PTE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6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Equisetum fluviatile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1385</v>
      </c>
      <c r="Q29" s="214" t="n">
        <f aca="false">IF(ISTEXT(H29),"",(B29*$B$7/100)+(C29*$C$7/100))</f>
        <v>0.01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12</v>
      </c>
      <c r="T29" s="215" t="n">
        <f aca="false">IF(ISERROR(R29*I29*J29),0,R29*I29*J29)</f>
        <v>24</v>
      </c>
      <c r="U29" s="226" t="n">
        <f aca="false">IF(ISERROR(R29*J29),0,R29*J29)</f>
        <v>2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EQUFLU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279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83</v>
      </c>
      <c r="B30" s="221" t="n">
        <v>0.02</v>
      </c>
      <c r="C30" s="222"/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Agrostis stolonifera</v>
      </c>
      <c r="E30" s="223" t="e">
        <f aca="false">IF(D30="",0,VLOOKUP(D30,D$22:D29,1,0))</f>
        <v>#N/A</v>
      </c>
      <c r="F30" s="224" t="n">
        <f aca="false">($B30*$B$7+$C30*$C$7)/100</f>
        <v>0.02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Agrostis stolonifera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1543</v>
      </c>
      <c r="Q30" s="214" t="n">
        <f aca="false">IF(ISTEXT(H30),"",(B30*$B$7/100)+(C30*$C$7/100))</f>
        <v>0.02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10</v>
      </c>
      <c r="T30" s="215" t="n">
        <f aca="false">IF(ISERROR(R30*I30*J30),0,R30*I30*J30)</f>
        <v>10</v>
      </c>
      <c r="U30" s="226" t="n">
        <f aca="false">IF(ISERROR(R30*J30),0,R30*J30)</f>
        <v>1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AGRSTO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514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84</v>
      </c>
      <c r="B31" s="221" t="n">
        <v>0.02</v>
      </c>
      <c r="C31" s="222"/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Carex vesicaria</v>
      </c>
      <c r="E31" s="223" t="e">
        <f aca="false">IF(D31="",0,VLOOKUP(D31,D$22:D30,1,0))</f>
        <v>#N/A</v>
      </c>
      <c r="F31" s="224" t="n">
        <f aca="false">($B31*$B$7+$C31*$C$7)/100</f>
        <v>0.02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09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09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Carex vesicaria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1491</v>
      </c>
      <c r="Q31" s="214" t="n">
        <f aca="false">IF(ISTEXT(H31),"",(B31*$B$7/100)+(C31*$C$7/100))</f>
        <v>0.02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12</v>
      </c>
      <c r="T31" s="215" t="n">
        <f aca="false">IF(ISERROR(R31*I31*J31),0,R31*I31*J31)</f>
        <v>24</v>
      </c>
      <c r="U31" s="226" t="n">
        <f aca="false">IF(ISERROR(R31*J31),0,R31*J31)</f>
        <v>2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CARVES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546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85</v>
      </c>
      <c r="B32" s="221" t="n">
        <v>0.02</v>
      </c>
      <c r="C32" s="222"/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Eleocharis palustris</v>
      </c>
      <c r="E32" s="223" t="e">
        <f aca="false">IF(D32="",0,VLOOKUP(D32,D$22:D31,1,0))</f>
        <v>#N/A</v>
      </c>
      <c r="F32" s="224" t="n">
        <f aca="false">($B32*$B$7+$C32*$C$7)/100</f>
        <v>0.02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09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12</v>
      </c>
      <c r="J32" s="209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Eleocharis palustris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1506</v>
      </c>
      <c r="Q32" s="214" t="n">
        <f aca="false">IF(ISTEXT(H32),"",(B32*$B$7/100)+(C32*$C$7/100))</f>
        <v>0.02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12</v>
      </c>
      <c r="T32" s="215" t="n">
        <f aca="false">IF(ISERROR(R32*I32*J32),0,R32*I32*J32)</f>
        <v>24</v>
      </c>
      <c r="U32" s="226" t="n">
        <f aca="false">IF(ISERROR(R32*J32),0,R32*J32)</f>
        <v>2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IF(A32="new.cod","NEWCOD",IF(AND((Z32=""),ISTEXT(A32)),A32,IF(Z32="","",INDEX('[1]liste reference'!$A$8:$A$904,Z32))))</f>
        <v>ELEPAL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560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86</v>
      </c>
      <c r="B33" s="221" t="n">
        <v>0.05</v>
      </c>
      <c r="C33" s="222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Glyceria fluitans</v>
      </c>
      <c r="E33" s="223" t="e">
        <f aca="false">IF(D33="",0,VLOOKUP(D33,D$22:D32,1,0))</f>
        <v>#N/A</v>
      </c>
      <c r="F33" s="224" t="n">
        <f aca="false">($B33*$B$7+$C33*$C$7)/100</f>
        <v>0.05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8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09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14</v>
      </c>
      <c r="J33" s="209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Glyceria fluitans</v>
      </c>
      <c r="L33" s="225"/>
      <c r="M33" s="225"/>
      <c r="N33" s="225"/>
      <c r="O33" s="212"/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1564</v>
      </c>
      <c r="Q33" s="214" t="n">
        <f aca="false">IF(ISTEXT(H33),"",(B33*$B$7/100)+(C33*$C$7/100))</f>
        <v>0.05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14</v>
      </c>
      <c r="T33" s="215" t="n">
        <f aca="false">IF(ISERROR(R33*I33*J33),0,R33*I33*J33)</f>
        <v>28</v>
      </c>
      <c r="U33" s="226" t="n">
        <f aca="false">IF(ISERROR(R33*J33),0,R33*J33)</f>
        <v>2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>GLYFLU</v>
      </c>
      <c r="Z33" s="9" t="n">
        <f aca="false">IF(ISERROR(MATCH(A33,'[1]liste reference'!$A$8:$A$904,0)),IF(ISERROR(MATCH(A33,'[1]liste reference'!$B$8:$B$904,0)),"",(MATCH(A33,'[1]liste reference'!$B$8:$B$904,0))),(MATCH(A33,'[1]liste reference'!$A$8:$A$904,0)))</f>
        <v>575</v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87</v>
      </c>
      <c r="B34" s="221" t="n">
        <v>0.15</v>
      </c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Mentha longifolia</v>
      </c>
      <c r="E34" s="223" t="e">
        <f aca="false">IF(D34="",0,VLOOKUP(D34,D$22:D33,1,0))</f>
        <v>#N/A</v>
      </c>
      <c r="F34" s="228" t="n">
        <f aca="false">($B34*$B$7+$C34*$C$7)/100</f>
        <v>0.15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8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Mentha longifolia</v>
      </c>
      <c r="L34" s="225"/>
      <c r="M34" s="225"/>
      <c r="N34" s="225"/>
      <c r="O34" s="212"/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19856</v>
      </c>
      <c r="Q34" s="214" t="n">
        <f aca="false">IF(ISTEXT(H34),"",(B34*$B$7/100)+(C34*$C$7/100))</f>
        <v>0.15</v>
      </c>
      <c r="R34" s="215" t="n">
        <f aca="false">IF(OR(ISTEXT(H34),Q34=0),"",IF(Q34&lt;0.1,1,IF(Q34&lt;1,2,IF(Q34&lt;10,3,IF(Q34&lt;50,4,IF(Q34&gt;=50,5,""))))))</f>
        <v>2</v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>MENLON</v>
      </c>
      <c r="Z34" s="9" t="n">
        <f aca="false">IF(ISERROR(MATCH(A34,'[1]liste reference'!$A$8:$A$904,0)),IF(ISERROR(MATCH(A34,'[1]liste reference'!$B$8:$B$904,0)),"",(MATCH(A34,'[1]liste reference'!$B$8:$B$904,0))),(MATCH(A34,'[1]liste reference'!$A$8:$A$904,0)))</f>
        <v>609</v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88</v>
      </c>
      <c r="B35" s="221" t="n">
        <v>0.05</v>
      </c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Phalaris arundinacea</v>
      </c>
      <c r="E35" s="223" t="e">
        <f aca="false">IF(D35="",0,VLOOKUP(D35,D$22:D34,1,0))</f>
        <v>#N/A</v>
      </c>
      <c r="F35" s="228" t="n">
        <f aca="false">($B35*$B$7+$C35*$C$7)/100</f>
        <v>0.05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08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09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10</v>
      </c>
      <c r="J35" s="209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Phalaris arundinacea</v>
      </c>
      <c r="L35" s="225"/>
      <c r="M35" s="225"/>
      <c r="N35" s="225"/>
      <c r="O35" s="212"/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1577</v>
      </c>
      <c r="Q35" s="214" t="n">
        <f aca="false">IF(ISTEXT(H35),"",(B35*$B$7/100)+(C35*$C$7/100))</f>
        <v>0.05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10</v>
      </c>
      <c r="T35" s="215" t="n">
        <f aca="false">IF(ISERROR(R35*I35*J35),0,R35*I35*J35)</f>
        <v>10</v>
      </c>
      <c r="U35" s="226" t="n">
        <f aca="false">IF(ISERROR(R35*J35),0,R35*J35)</f>
        <v>1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>PHAARU</v>
      </c>
      <c r="Z35" s="9" t="n">
        <f aca="false">IF(ISERROR(MATCH(A35,'[1]liste reference'!$A$8:$A$904,0)),IF(ISERROR(MATCH(A35,'[1]liste reference'!$B$8:$B$904,0)),"",(MATCH(A35,'[1]liste reference'!$B$8:$B$904,0))),(MATCH(A35,'[1]liste reference'!$A$8:$A$904,0)))</f>
        <v>634</v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89</v>
      </c>
      <c r="B36" s="221" t="n">
        <v>0.15</v>
      </c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Scirpus sylvaticus</v>
      </c>
      <c r="E36" s="223" t="e">
        <f aca="false">IF(D36="",0,VLOOKUP(D36,D$22:D35,1,0))</f>
        <v>#N/A</v>
      </c>
      <c r="F36" s="228" t="n">
        <f aca="false">($B36*$B$7+$C36*$C$7)/100</f>
        <v>0.15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PHe</v>
      </c>
      <c r="H36" s="208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8</v>
      </c>
      <c r="I36" s="209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10</v>
      </c>
      <c r="J36" s="209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Scirpus sylvaticus</v>
      </c>
      <c r="L36" s="225"/>
      <c r="M36" s="225"/>
      <c r="N36" s="225"/>
      <c r="O36" s="212"/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1525</v>
      </c>
      <c r="Q36" s="214" t="n">
        <f aca="false">IF(ISTEXT(H36),"",(B36*$B$7/100)+(C36*$C$7/100))</f>
        <v>0.15</v>
      </c>
      <c r="R36" s="215" t="n">
        <f aca="false">IF(OR(ISTEXT(H36),Q36=0),"",IF(Q36&lt;0.1,1,IF(Q36&lt;1,2,IF(Q36&lt;10,3,IF(Q36&lt;50,4,IF(Q36&gt;=50,5,""))))))</f>
        <v>2</v>
      </c>
      <c r="S36" s="215" t="n">
        <f aca="false">IF(ISERROR(R36*I36),0,R36*I36)</f>
        <v>20</v>
      </c>
      <c r="T36" s="215" t="n">
        <f aca="false">IF(ISERROR(R36*I36*J36),0,R36*I36*J36)</f>
        <v>40</v>
      </c>
      <c r="U36" s="226" t="n">
        <f aca="false">IF(ISERROR(R36*J36),0,R36*J36)</f>
        <v>4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>SCISYL</v>
      </c>
      <c r="Z36" s="9" t="n">
        <f aca="false">IF(ISERROR(MATCH(A36,'[1]liste reference'!$A$8:$A$904,0)),IF(ISERROR(MATCH(A36,'[1]liste reference'!$B$8:$B$904,0)),"",(MATCH(A36,'[1]liste reference'!$B$8:$B$904,0))),(MATCH(A36,'[1]liste reference'!$A$8:$A$904,0)))</f>
        <v>665</v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90</v>
      </c>
      <c r="B37" s="221" t="n">
        <v>0.15</v>
      </c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Sparganium erectum</v>
      </c>
      <c r="E37" s="223" t="e">
        <f aca="false">IF(D37="",0,VLOOKUP(D37,D$22:D36,1,0))</f>
        <v>#N/A</v>
      </c>
      <c r="F37" s="228" t="n">
        <f aca="false">($B37*$B$7+$C37*$C$7)/100</f>
        <v>0.15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PHe</v>
      </c>
      <c r="H37" s="208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8</v>
      </c>
      <c r="I37" s="209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10</v>
      </c>
      <c r="J37" s="209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1</v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Sparganium erectum</v>
      </c>
      <c r="L37" s="225"/>
      <c r="M37" s="225"/>
      <c r="N37" s="225"/>
      <c r="O37" s="212"/>
      <c r="P37" s="213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1671</v>
      </c>
      <c r="Q37" s="214" t="n">
        <f aca="false">IF(ISTEXT(H37),"",(B37*$B$7/100)+(C37*$C$7/100))</f>
        <v>0.15</v>
      </c>
      <c r="R37" s="215" t="n">
        <f aca="false">IF(OR(ISTEXT(H37),Q37=0),"",IF(Q37&lt;0.1,1,IF(Q37&lt;1,2,IF(Q37&lt;10,3,IF(Q37&lt;50,4,IF(Q37&gt;=50,5,""))))))</f>
        <v>2</v>
      </c>
      <c r="S37" s="215" t="n">
        <f aca="false">IF(ISERROR(R37*I37),0,R37*I37)</f>
        <v>20</v>
      </c>
      <c r="T37" s="215" t="n">
        <f aca="false">IF(ISERROR(R37*I37*J37),0,R37*I37*J37)</f>
        <v>20</v>
      </c>
      <c r="U37" s="226" t="n">
        <f aca="false">IF(ISERROR(R37*J37),0,R37*J37)</f>
        <v>2</v>
      </c>
      <c r="V37" s="216" t="str">
        <f aca="false">IF(AND(A37="",F37=0),"",IF(F37=0,"Il manque le(s) % de rec. !",""))</f>
        <v/>
      </c>
      <c r="W37" s="217"/>
      <c r="X37" s="217"/>
      <c r="Y37" s="215" t="str">
        <f aca="false">IF(A37="new.cod","NEWCOD",IF(AND((Z37=""),ISTEXT(A37)),A37,IF(Z37="","",INDEX('[1]liste reference'!$A$8:$A$904,Z37))))</f>
        <v>SPAERE</v>
      </c>
      <c r="Z37" s="9" t="n">
        <f aca="false">IF(ISERROR(MATCH(A37,'[1]liste reference'!$A$8:$A$904,0)),IF(ISERROR(MATCH(A37,'[1]liste reference'!$B$8:$B$904,0)),"",(MATCH(A37,'[1]liste reference'!$B$8:$B$904,0))),(MATCH(A37,'[1]liste reference'!$A$8:$A$904,0)))</f>
        <v>668</v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0"/>
      <c r="M60" s="230"/>
      <c r="N60" s="230"/>
      <c r="O60" s="212"/>
      <c r="P60" s="23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EPIE</v>
      </c>
      <c r="B84" s="256" t="str">
        <f aca="false">C3</f>
        <v>ORADOUR</v>
      </c>
      <c r="C84" s="257" t="n">
        <f aca="false">A4</f>
        <v>41863</v>
      </c>
      <c r="D84" s="258" t="n">
        <f aca="false">IF(ISERROR(SUM($T$23:$T$82)/SUM($U$23:$U$82)),"",SUM($T$23:$T$82)/SUM($U$23:$U$82))</f>
        <v>12.3823529411765</v>
      </c>
      <c r="E84" s="259" t="n">
        <f aca="false">N13</f>
        <v>15</v>
      </c>
      <c r="F84" s="256" t="n">
        <f aca="false">N14</f>
        <v>14</v>
      </c>
      <c r="G84" s="256" t="n">
        <f aca="false">N15</f>
        <v>6</v>
      </c>
      <c r="H84" s="256" t="n">
        <f aca="false">N16</f>
        <v>8</v>
      </c>
      <c r="I84" s="256" t="n">
        <f aca="false">N17</f>
        <v>0</v>
      </c>
      <c r="J84" s="260" t="n">
        <f aca="false">N8</f>
        <v>11.8571428571429</v>
      </c>
      <c r="K84" s="258" t="n">
        <f aca="false">N9</f>
        <v>2.06526175640014</v>
      </c>
      <c r="L84" s="259" t="n">
        <f aca="false">N10</f>
        <v>9</v>
      </c>
      <c r="M84" s="259" t="n">
        <f aca="false">N11</f>
        <v>15</v>
      </c>
      <c r="N84" s="258" t="n">
        <f aca="false">O8</f>
        <v>1.57142857142857</v>
      </c>
      <c r="O84" s="258" t="n">
        <f aca="false">O9</f>
        <v>0.494871659305394</v>
      </c>
      <c r="P84" s="259" t="n">
        <f aca="false">O10</f>
        <v>1</v>
      </c>
      <c r="Q84" s="259" t="n">
        <f aca="false">O11</f>
        <v>2</v>
      </c>
      <c r="R84" s="259" t="n">
        <f aca="false">F21</f>
        <v>3.43</v>
      </c>
      <c r="S84" s="259" t="n">
        <f aca="false">K11</f>
        <v>0</v>
      </c>
      <c r="T84" s="259" t="n">
        <f aca="false">K12</f>
        <v>3</v>
      </c>
      <c r="U84" s="259" t="n">
        <f aca="false">K13</f>
        <v>3</v>
      </c>
      <c r="V84" s="261" t="n">
        <f aca="false">K14</f>
        <v>1</v>
      </c>
      <c r="W84" s="262" t="n">
        <f aca="false">K15</f>
        <v>8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45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90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6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n">
        <f aca="false">IF(ISERROR(SUM($T$23:$T$82)/SUM($U$23:$U$82)),"",(SUM($T$23:$T$82)-S88)/(SUM($U$23:$U$82)-S89))</f>
        <v>11.8214285714286</v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str">
        <f aca="false">INDEX('[1]liste reference'!$A$8:$A$904,$T$91)</f>
        <v>CHIPOL</v>
      </c>
      <c r="T91" s="9" t="n">
        <f aca="false">IF(ISERROR(MATCH($S$93,'[1]liste reference'!$A$8:$A$904,0)),MATCH($S$93,'[1]liste reference'!$B$8:$B$904,0),(MATCH($S$93,'[1]liste reference'!$A$8:$A$904,0)))</f>
        <v>97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4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CHIPOL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2024-04-16T07:05:37Z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