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1" sheetId="1" state="visible" r:id="rId3"/>
  </sheets>
  <externalReferences>
    <externalReference r:id="rId4"/>
  </externalReferences>
  <definedNames>
    <definedName function="false" hidden="false" localSheetId="0" name="_xlnm.Print_Area" vbProcedure="false">'51'!$A$1:$Q$82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<sst xmlns="http://schemas.openxmlformats.org/spreadsheetml/2006/main" count="166" uniqueCount="101">
  <si>
    <t xml:space="preserve">Relevés floristiques aquatiques - IBMR</t>
  </si>
  <si>
    <t xml:space="preserve">modèle Irstea-GIS</t>
  </si>
  <si>
    <t xml:space="preserve">CARICAIE</t>
  </si>
  <si>
    <t xml:space="preserve">EPIE</t>
  </si>
  <si>
    <t xml:space="preserve">ORADOUR</t>
  </si>
  <si>
    <t xml:space="preserve">05096400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</si>
  <si>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</si>
  <si>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</si>
  <si>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</si>
  <si>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</si>
  <si>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</si>
  <si>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</si>
  <si>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</si>
  <si>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</si>
  <si>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</si>
  <si>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</si>
  <si>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</si>
  <si>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</si>
  <si>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</si>
  <si>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</si>
  <si>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</si>
  <si>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</si>
  <si>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</si>
  <si>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</si>
  <si>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</si>
  <si>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</si>
  <si>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</si>
  <si>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</si>
  <si>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</si>
  <si>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</si>
  <si>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</si>
  <si>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</si>
  <si>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</si>
  <si>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</si>
  <si>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</si>
  <si>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</si>
  <si>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</si>
  <si>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</si>
  <si>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</si>
  <si>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</si>
  <si>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</si>
  <si>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</si>
  <si>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</si>
  <si>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</si>
  <si>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</si>
  <si>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</si>
  <si>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</si>
  <si>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</si>
  <si>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</si>
  <si>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</si>
  <si>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</si>
  <si>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</si>
  <si>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</si>
  <si>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</si>
  <si>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</si>
  <si>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</si>
  <si>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</si>
  <si>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</si>
  <si>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</si>
  <si>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</si>
  <si>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</si>
  <si>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</si>
  <si>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</si>
  <si>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</si>
  <si>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</si>
  <si>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</si>
  <si>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</si>
  <si>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</si>
  <si>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</si>
  <si>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</si>
  <si>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</si>
  <si>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</si>
  <si>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</si>
  <si>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</si>
  <si>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</si>
  <si>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</si>
  <si>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</si>
  <si>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</si>
  <si>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NOSSPX</t>
  </si>
  <si>
    <t xml:space="preserve">SPISPX</t>
  </si>
  <si>
    <t xml:space="preserve">CHIPOL</t>
  </si>
  <si>
    <t xml:space="preserve">FONANT</t>
  </si>
  <si>
    <t xml:space="preserve">RHYRIP</t>
  </si>
  <si>
    <t xml:space="preserve">EQUFLU</t>
  </si>
  <si>
    <t xml:space="preserve">AGRSTO</t>
  </si>
  <si>
    <t xml:space="preserve">GLYFLU</t>
  </si>
  <si>
    <t xml:space="preserve">MENLON</t>
  </si>
  <si>
    <t xml:space="preserve">PHAARU</t>
  </si>
  <si>
    <t xml:space="preserve">SCISYL</t>
  </si>
  <si>
    <t xml:space="preserve">SPAERE</t>
  </si>
  <si>
    <t xml:space="preserve">CARSPX</t>
  </si>
  <si>
    <t xml:space="preserve">RANREP</t>
  </si>
  <si>
    <t xml:space="preserve">RUBSPX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</si>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</sst>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5_Mphyt_15.04_IBMR-ADOUR_JMI_calculs_BVlotAU_$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reference"/>
      <sheetName val="Récap."/>
      <sheetName val="notice"/>
      <sheetName val="note V4"/>
      <sheetName val="modele"/>
      <sheetName val="48"/>
      <sheetName val="49"/>
      <sheetName val="50"/>
      <sheetName val="51"/>
      <sheetName val="56"/>
      <sheetName val="liste codes réf"/>
    </sheetNames>
    <sheetDataSet>
      <sheetData sheetId="0">
        <row r="6">
          <cell r="B6" t="str">
            <v>- ORGANISMES HETEROTROPHES -</v>
          </cell>
          <cell r="C6" t="str">
            <v>Walcott.</v>
          </cell>
          <cell r="D6" t="str">
            <v>IBMR</v>
          </cell>
          <cell r="E6">
            <v>1</v>
          </cell>
          <cell r="F6" t="str">
            <v>nc</v>
          </cell>
          <cell r="G6" t="str">
            <v>nc</v>
          </cell>
          <cell r="H6">
            <v>6076</v>
          </cell>
          <cell r="I6" t="str">
            <v>HET</v>
          </cell>
          <cell r="J6">
            <v>1</v>
          </cell>
          <cell r="K6">
            <v>1</v>
          </cell>
        </row>
        <row r="7">
          <cell r="A7" t="str">
            <v>LEPSPX</v>
          </cell>
          <cell r="B7" t="str">
            <v>Leptomitus sp.</v>
          </cell>
          <cell r="C7" t="str">
            <v>Walcott.</v>
          </cell>
          <cell r="D7" t="str">
            <v>IBMR</v>
          </cell>
          <cell r="E7">
            <v>0</v>
          </cell>
          <cell r="F7">
            <v>0</v>
          </cell>
          <cell r="G7">
            <v>3</v>
          </cell>
          <cell r="H7">
            <v>1097</v>
          </cell>
          <cell r="I7" t="str">
            <v>HET</v>
          </cell>
          <cell r="J7">
            <v>1</v>
          </cell>
          <cell r="K7">
            <v>1</v>
          </cell>
          <cell r="L7" t="str">
            <v>LEPLAC</v>
          </cell>
          <cell r="M7" t="str">
            <v>Leptomitus lacteus (Roth) C.Agardh</v>
          </cell>
        </row>
        <row r="8">
          <cell r="A8" t="str">
            <v>SPTSPX</v>
          </cell>
          <cell r="B8" t="str">
            <v>Sphaerotilus sp.</v>
          </cell>
          <cell r="C8" t="str">
            <v>Kützing</v>
          </cell>
          <cell r="D8" t="str">
            <v>IBMR</v>
          </cell>
          <cell r="E8">
            <v>0</v>
          </cell>
          <cell r="F8">
            <v>0</v>
          </cell>
          <cell r="G8">
            <v>3</v>
          </cell>
          <cell r="H8">
            <v>1093</v>
          </cell>
          <cell r="I8" t="str">
            <v>HET</v>
          </cell>
          <cell r="J8">
            <v>1</v>
          </cell>
          <cell r="K8">
            <v>1</v>
          </cell>
          <cell r="L8" t="str">
            <v>SPTNAT</v>
          </cell>
          <cell r="M8" t="str">
            <v>Sphaerotilus natans Kützing</v>
          </cell>
        </row>
        <row r="9">
          <cell r="A9" t="str">
            <v>SPTSPX</v>
          </cell>
          <cell r="B9" t="str">
            <v>- ALGUES -</v>
          </cell>
          <cell r="C9" t="str">
            <v>Bory de Saint-Vincent</v>
          </cell>
          <cell r="D9" t="str">
            <v>IBMR</v>
          </cell>
          <cell r="E9">
            <v>1</v>
          </cell>
          <cell r="F9" t="str">
            <v>nc</v>
          </cell>
          <cell r="G9">
            <v>2</v>
          </cell>
          <cell r="H9">
            <v>1155</v>
          </cell>
          <cell r="I9" t="str">
            <v>ALG</v>
          </cell>
          <cell r="J9">
            <v>2</v>
          </cell>
          <cell r="K9">
            <v>1</v>
          </cell>
        </row>
        <row r="10">
          <cell r="A10" t="str">
            <v>ANASPX</v>
          </cell>
          <cell r="B10" t="str">
            <v>Anabaena sp.</v>
          </cell>
          <cell r="C10" t="str">
            <v>Bory de Saint-Vincent</v>
          </cell>
          <cell r="D10" t="str">
            <v>IBMR</v>
          </cell>
          <cell r="E10">
            <v>0</v>
          </cell>
          <cell r="F10" t="str">
            <v>nc</v>
          </cell>
          <cell r="G10" t="str">
            <v>nc</v>
          </cell>
          <cell r="H10">
            <v>1101</v>
          </cell>
          <cell r="I10" t="str">
            <v>ALG</v>
          </cell>
          <cell r="J10">
            <v>2</v>
          </cell>
          <cell r="K10">
            <v>1</v>
          </cell>
        </row>
        <row r="11">
          <cell r="A11" t="str">
            <v>APHSPX</v>
          </cell>
          <cell r="B11" t="str">
            <v>Aphanizomenon sp.</v>
          </cell>
          <cell r="C11" t="str">
            <v>Morren</v>
          </cell>
        </row>
        <row r="11">
          <cell r="E11">
            <v>0</v>
          </cell>
          <cell r="F11" t="str">
            <v>nc</v>
          </cell>
          <cell r="G11" t="str">
            <v>nc</v>
          </cell>
          <cell r="H11">
            <v>1103</v>
          </cell>
          <cell r="I11" t="str">
            <v>ALG</v>
          </cell>
          <cell r="J11">
            <v>2</v>
          </cell>
          <cell r="K11">
            <v>1</v>
          </cell>
        </row>
        <row r="12">
          <cell r="A12" t="str">
            <v>AUDSPX</v>
          </cell>
          <cell r="B12" t="str">
            <v>Audouinella sp.</v>
          </cell>
          <cell r="C12" t="str">
            <v>Bory de Saint-Vincent</v>
          </cell>
          <cell r="D12" t="str">
            <v>IBMR</v>
          </cell>
          <cell r="E12">
            <v>0</v>
          </cell>
          <cell r="F12">
            <v>13</v>
          </cell>
          <cell r="G12">
            <v>2</v>
          </cell>
          <cell r="H12">
            <v>6076</v>
          </cell>
          <cell r="I12" t="str">
            <v>ALG</v>
          </cell>
          <cell r="J12">
            <v>2</v>
          </cell>
          <cell r="K12">
            <v>1</v>
          </cell>
        </row>
        <row r="13">
          <cell r="A13" t="str">
            <v>AUASPX</v>
          </cell>
          <cell r="B13" t="str">
            <v>Aulacoseira sp.</v>
          </cell>
          <cell r="C13" t="str">
            <v>Thwaites</v>
          </cell>
          <cell r="D13" t="str">
            <v>IBMR</v>
          </cell>
          <cell r="E13">
            <v>0</v>
          </cell>
          <cell r="F13" t="str">
            <v>nc</v>
          </cell>
          <cell r="G13" t="str">
            <v>nc</v>
          </cell>
          <cell r="H13">
            <v>9476</v>
          </cell>
          <cell r="I13" t="str">
            <v>ALG</v>
          </cell>
          <cell r="J13">
            <v>2</v>
          </cell>
          <cell r="K13">
            <v>1</v>
          </cell>
        </row>
        <row r="14">
          <cell r="A14" t="str">
            <v>BANSPX</v>
          </cell>
          <cell r="B14" t="str">
            <v>Bangia sp.</v>
          </cell>
          <cell r="C14" t="str">
            <v>Lyngbye</v>
          </cell>
          <cell r="D14" t="str">
            <v>IBMR</v>
          </cell>
          <cell r="E14">
            <v>0</v>
          </cell>
          <cell r="F14">
            <v>10</v>
          </cell>
          <cell r="G14">
            <v>2</v>
          </cell>
          <cell r="H14">
            <v>1153</v>
          </cell>
          <cell r="I14" t="str">
            <v>ALG</v>
          </cell>
          <cell r="J14">
            <v>2</v>
          </cell>
          <cell r="K14">
            <v>1</v>
          </cell>
          <cell r="L14" t="str">
            <v>BANATR</v>
          </cell>
          <cell r="M14" t="str">
            <v>Bangia atropurpurea (Roth) C.Agardh</v>
          </cell>
          <cell r="N14" t="str">
            <v>BAGATR</v>
          </cell>
          <cell r="O14" t="str">
            <v>Bangiadulcis atropurpurea</v>
          </cell>
        </row>
        <row r="15">
          <cell r="A15" t="str">
            <v>BATSPX</v>
          </cell>
          <cell r="B15" t="str">
            <v>Batrachospermum sp.</v>
          </cell>
          <cell r="C15" t="str">
            <v>Roth.</v>
          </cell>
          <cell r="D15" t="str">
            <v>IBMR</v>
          </cell>
          <cell r="E15">
            <v>0</v>
          </cell>
          <cell r="F15">
            <v>16</v>
          </cell>
          <cell r="G15">
            <v>2</v>
          </cell>
          <cell r="H15">
            <v>1155</v>
          </cell>
          <cell r="I15" t="str">
            <v>ALG</v>
          </cell>
          <cell r="J15">
            <v>2</v>
          </cell>
          <cell r="K15">
            <v>1</v>
          </cell>
        </row>
        <row r="15">
          <cell r="M15" t="str">
            <v>Batrachospermum moniliforme Sirodot</v>
          </cell>
        </row>
        <row r="16">
          <cell r="A16" t="str">
            <v>BINSPX</v>
          </cell>
          <cell r="B16" t="str">
            <v>Binuclearia sp.</v>
          </cell>
          <cell r="C16" t="str">
            <v>Wittrock</v>
          </cell>
          <cell r="D16" t="str">
            <v>IBMR</v>
          </cell>
          <cell r="E16">
            <v>0</v>
          </cell>
          <cell r="F16">
            <v>14</v>
          </cell>
          <cell r="G16">
            <v>2</v>
          </cell>
          <cell r="H16">
            <v>5987</v>
          </cell>
          <cell r="I16" t="str">
            <v>ALG</v>
          </cell>
          <cell r="J16">
            <v>2</v>
          </cell>
          <cell r="K16">
            <v>1</v>
          </cell>
        </row>
        <row r="17">
          <cell r="A17" t="str">
            <v>BULSPX</v>
          </cell>
          <cell r="B17" t="str">
            <v>Bulbochaete sp.</v>
          </cell>
          <cell r="C17" t="str">
            <v>C. Agardh</v>
          </cell>
          <cell r="D17" t="str">
            <v>IBMR</v>
          </cell>
          <cell r="E17">
            <v>0</v>
          </cell>
          <cell r="F17" t="str">
            <v>nc</v>
          </cell>
          <cell r="G17" t="str">
            <v>nc</v>
          </cell>
          <cell r="H17">
            <v>5956</v>
          </cell>
          <cell r="I17" t="str">
            <v>ALG</v>
          </cell>
          <cell r="J17">
            <v>2</v>
          </cell>
          <cell r="K17">
            <v>1</v>
          </cell>
        </row>
        <row r="18">
          <cell r="A18" t="str">
            <v>CAOSPX</v>
          </cell>
          <cell r="B18" t="str">
            <v>Calothrix sp.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42214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12.2</v>
      </c>
      <c r="N5" s="48"/>
      <c r="O5" s="49" t="s">
        <v>15</v>
      </c>
      <c r="P5" s="50" t="n">
        <v>11.6666666666667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n">
        <f aca="false">IF(ISERROR(AVERAGE(J23:J82))," ",AVERAGE(J23:J82))</f>
        <v>11.4166666666667</v>
      </c>
      <c r="P8" s="80" t="n">
        <f aca="false">IF(ISERROR(AVERAGE(K23:K82)),"  ",AVERAGE(K23:K82))</f>
        <v>1.41666666666667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4.5</v>
      </c>
      <c r="C9" s="66"/>
      <c r="D9" s="82"/>
      <c r="E9" s="82"/>
      <c r="F9" s="83" t="n">
        <f aca="false">($B9*$B$7+$C9*$C$7)/100</f>
        <v>4.5</v>
      </c>
      <c r="G9" s="84"/>
      <c r="H9" s="41"/>
      <c r="I9" s="6"/>
      <c r="J9" s="85"/>
      <c r="K9" s="86"/>
      <c r="L9" s="71"/>
      <c r="M9" s="87"/>
      <c r="N9" s="79" t="s">
        <v>28</v>
      </c>
      <c r="O9" s="80" t="n">
        <f aca="false">IF(ISERROR(STDEVP(J23:J82))," ",STDEVP(J23:J82))</f>
        <v>2.05986784905138</v>
      </c>
      <c r="P9" s="80" t="n">
        <f aca="false">IF(ISERROR(STDEVP(K23:K82)),"  ",STDEVP(K23:K82))</f>
        <v>0.493006648591635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9</v>
      </c>
      <c r="P10" s="94" t="n">
        <f aca="false">MIN(K23:K82)</f>
        <v>1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 t="n">
        <v>0</v>
      </c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15</v>
      </c>
      <c r="P11" s="94" t="n">
        <f aca="false">MAX(K23:K82)</f>
        <v>2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 t="n">
        <v>2.5</v>
      </c>
      <c r="C12" s="106"/>
      <c r="D12" s="82"/>
      <c r="E12" s="82"/>
      <c r="F12" s="99" t="n">
        <f aca="false">($B12*$B$7+$C12*$C$7)/100</f>
        <v>2.5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3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 t="n">
        <v>1.75</v>
      </c>
      <c r="C13" s="106"/>
      <c r="D13" s="82"/>
      <c r="E13" s="82"/>
      <c r="F13" s="99" t="n">
        <f aca="false">($B13*$B$7+$C13*$C$7)/100</f>
        <v>1.75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3</v>
      </c>
      <c r="M13" s="103"/>
      <c r="N13" s="111" t="s">
        <v>39</v>
      </c>
      <c r="O13" s="112" t="n">
        <f aca="false">COUNTIF(F23:F82,"&gt;0")</f>
        <v>16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 t="n">
        <v>0.01</v>
      </c>
      <c r="C14" s="106"/>
      <c r="D14" s="82"/>
      <c r="E14" s="82"/>
      <c r="F14" s="99" t="n">
        <f aca="false">($B14*$B$7+$C14*$C$7)/100</f>
        <v>0.01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1</v>
      </c>
      <c r="M14" s="103"/>
      <c r="N14" s="114" t="s">
        <v>42</v>
      </c>
      <c r="O14" s="115" t="n">
        <f aca="false">COUNTIF($J$23:$J$82,"&gt;-1")</f>
        <v>12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 t="n">
        <v>0.25</v>
      </c>
      <c r="C15" s="119"/>
      <c r="D15" s="82"/>
      <c r="E15" s="82"/>
      <c r="F15" s="99" t="n">
        <f aca="false">($B15*$B$7+$C15*$C$7)/100</f>
        <v>0.25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9</v>
      </c>
      <c r="M15" s="103"/>
      <c r="N15" s="111" t="s">
        <v>45</v>
      </c>
      <c r="O15" s="112" t="n">
        <f aca="false">COUNTIF(K23:K82,"=1")</f>
        <v>7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 t="n">
        <v>0</v>
      </c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5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 t="n">
        <v>4.3</v>
      </c>
      <c r="C17" s="106"/>
      <c r="D17" s="82"/>
      <c r="E17" s="82"/>
      <c r="F17" s="124"/>
      <c r="G17" s="125" t="n">
        <f aca="false">($B17*$B$7+$C17*$C$7)/100</f>
        <v>4.3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0.75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 t="n">
        <v>0.25</v>
      </c>
      <c r="C18" s="133"/>
      <c r="D18" s="82"/>
      <c r="E18" s="134" t="s">
        <v>52</v>
      </c>
      <c r="F18" s="124"/>
      <c r="G18" s="125" t="n">
        <f aca="false">($B18*$B$7+$C18*$C$7)/100</f>
        <v>0.25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0</v>
      </c>
      <c r="F19" s="144" t="n">
        <f aca="false">SUM(F11:F15)</f>
        <v>4.51</v>
      </c>
      <c r="G19" s="145" t="n">
        <f aca="false">SUM(G16:G18)</f>
        <v>4.55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4.55</v>
      </c>
      <c r="C20" s="155" t="n">
        <f aca="false">SUM(C23:C62)</f>
        <v>0</v>
      </c>
      <c r="D20" s="156"/>
      <c r="E20" s="157" t="s">
        <v>52</v>
      </c>
      <c r="F20" s="158" t="n">
        <f aca="false">($B20*$B$7+$C20*$C$7)/100</f>
        <v>4.55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4.55</v>
      </c>
      <c r="C21" s="166" t="n">
        <f aca="false">C20*C7/100</f>
        <v>0</v>
      </c>
      <c r="D21" s="167" t="s">
        <v>55</v>
      </c>
      <c r="E21" s="168"/>
      <c r="F21" s="169" t="n">
        <f aca="false">B21+C21</f>
        <v>4.55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15</v>
      </c>
      <c r="B23" s="194" t="n">
        <v>0.3</v>
      </c>
      <c r="C23" s="195"/>
      <c r="D23" s="196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Lemanea sp.</v>
      </c>
      <c r="E23" s="197" t="e">
        <f aca="false">IF(D23="",,VLOOKUP(D23,D$22:D22,1,0))</f>
        <v>#N/A</v>
      </c>
      <c r="F23" s="198" t="n">
        <f aca="false">IF(AND(OR(A23="",A23="!!!!!!"),B23="",C23=""),"",IF(OR(AND(B23="",C23=""),ISERROR(C23+B23)),"!!!",($B23*$B$7+$C23*$C$7)/100))</f>
        <v>0.3</v>
      </c>
      <c r="G23" s="199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0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6" t="n">
        <f aca="false">IF(A23="","",1)</f>
        <v>1</v>
      </c>
      <c r="J23" s="201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15</v>
      </c>
      <c r="K23" s="201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2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Lemanea sp.</v>
      </c>
      <c r="M23" s="203"/>
      <c r="N23" s="203"/>
      <c r="O23" s="203"/>
      <c r="P23" s="204" t="s">
        <v>77</v>
      </c>
      <c r="Q23" s="205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1159</v>
      </c>
      <c r="R23" s="206" t="n">
        <f aca="false">IF(ISTEXT(H23),"",(B23*$B$7/100)+(C23*$C$7/100))</f>
        <v>0.3</v>
      </c>
      <c r="S23" s="207" t="n">
        <f aca="false">IF(OR(ISTEXT(H23),R23=0),"",IF(R23&lt;0.1,1,IF(R23&lt;1,2,IF(R23&lt;10,3,IF(R23&lt;50,4,IF(R23&gt;=50,5,""))))))</f>
        <v>2</v>
      </c>
      <c r="T23" s="207" t="n">
        <f aca="false">IF(ISERROR(S23*J23),0,S23*J23)</f>
        <v>30</v>
      </c>
      <c r="U23" s="207" t="n">
        <f aca="false">IF(ISERROR(S23*J23*K23),0,S23*J23*K23)</f>
        <v>60</v>
      </c>
      <c r="V23" s="207" t="n">
        <f aca="false">IF(ISERROR(S23*K23),0,S23*K23)</f>
        <v>4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IF(AND(ISNUMBER(F23),OR(A23="",A23="!!!!!!")),"!!!!!!",IF(A23="new.cod","NEWCOD",IF(AND((Z23=""),ISTEXT(A23),A23&lt;&gt;"!!!!!!"),A23,IF(Z23="","",INDEX('[1]liste reference'!$A$6:$A$1174,Z23)))))</f>
        <v>LEASPX</v>
      </c>
      <c r="Z23" s="192" t="n">
        <f aca="false">IF(ISERROR(MATCH(A23,'[1]liste reference'!$A$6:$A$1174,0)),IF(ISERROR(MATCH(A23,'[1]liste reference'!$B$6:$B$1174,0)),"",(MATCH(A23,'[1]liste reference'!$B$6:$B$1174,0))),(MATCH(A23,'[1]liste reference'!$A$6:$A$1174,0)))</f>
        <v>59</v>
      </c>
    </row>
    <row r="24" customFormat="false" ht="12.75" hidden="false" customHeight="false" outlineLevel="0" collapsed="false">
      <c r="A24" s="210" t="s">
        <v>78</v>
      </c>
      <c r="B24" s="211" t="n">
        <v>2.2</v>
      </c>
      <c r="C24" s="212"/>
      <c r="D24" s="213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Nostoc sp.</v>
      </c>
      <c r="E24" s="214" t="e">
        <f aca="false">IF(D24="",,VLOOKUP(D24,D$22:D23,1,0))</f>
        <v>#N/A</v>
      </c>
      <c r="F24" s="215" t="n">
        <f aca="false">IF(AND(OR(A24="",A24="!!!!!!"),B24="",C24=""),"",IF(OR(AND(B24="",C24=""),ISERROR(C24+B24)),"!!!",($B24*$B$7+$C24*$C$7)/100))</f>
        <v>2.2</v>
      </c>
      <c r="G24" s="216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17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6" t="n">
        <f aca="false">IF(A24="","",1)</f>
        <v>1</v>
      </c>
      <c r="J24" s="218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9</v>
      </c>
      <c r="K24" s="218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2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Nostoc sp.</v>
      </c>
      <c r="M24" s="219"/>
      <c r="N24" s="219"/>
      <c r="O24" s="219"/>
      <c r="P24" s="220" t="s">
        <v>77</v>
      </c>
      <c r="Q24" s="221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1105</v>
      </c>
      <c r="R24" s="206" t="n">
        <f aca="false">IF(ISTEXT(H24),"",(B24*$B$7/100)+(C24*$C$7/100))</f>
        <v>2.2</v>
      </c>
      <c r="S24" s="207" t="n">
        <f aca="false">IF(OR(ISTEXT(H24),R24=0),"",IF(R24&lt;0.1,1,IF(R24&lt;1,2,IF(R24&lt;10,3,IF(R24&lt;50,4,IF(R24&gt;=50,5,""))))))</f>
        <v>3</v>
      </c>
      <c r="T24" s="207" t="n">
        <f aca="false">IF(ISERROR(S24*J24),0,S24*J24)</f>
        <v>27</v>
      </c>
      <c r="U24" s="207" t="n">
        <f aca="false">IF(ISERROR(S24*J24*K24),0,S24*J24*K24)</f>
        <v>27</v>
      </c>
      <c r="V24" s="222" t="n">
        <f aca="false">IF(ISERROR(S24*K24),0,S24*K24)</f>
        <v>3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IF(AND(ISNUMBER(F24),OR(A24="",A24="!!!!!!")),"!!!!!!",IF(A24="new.cod","NEWCOD",IF(AND((Z24=""),ISTEXT(A24),A24&lt;&gt;"!!!!!!"),A24,IF(Z24="","",INDEX('[1]liste reference'!$A$6:$A$1174,Z24)))))</f>
        <v>NOSSPX</v>
      </c>
      <c r="Z24" s="192" t="n">
        <f aca="false">IF(ISERROR(MATCH(A24,'[1]liste reference'!$A$6:$A$1174,0)),IF(ISERROR(MATCH(A24,'[1]liste reference'!$B$6:$B$1174,0)),"",(MATCH(A24,'[1]liste reference'!$B$6:$B$1174,0))),(MATCH(A24,'[1]liste reference'!$A$6:$A$1174,0)))</f>
        <v>84</v>
      </c>
    </row>
    <row r="25" customFormat="false" ht="12.75" hidden="false" customHeight="false" outlineLevel="0" collapsed="false">
      <c r="A25" s="210" t="s">
        <v>79</v>
      </c>
      <c r="B25" s="211" t="n">
        <v>0.03</v>
      </c>
      <c r="C25" s="212"/>
      <c r="D25" s="213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Spirogyra sp.</v>
      </c>
      <c r="E25" s="214" t="e">
        <f aca="false">IF(D25="",,VLOOKUP(D25,D$22:D24,1,0))</f>
        <v>#N/A</v>
      </c>
      <c r="F25" s="215" t="n">
        <f aca="false">IF(AND(OR(A25="",A25="!!!!!!"),B25="",C25=""),"",IF(OR(AND(B25="",C25=""),ISERROR(C25+B25)),"!!!",($B25*$B$7+$C25*$C$7)/100))</f>
        <v>0.03</v>
      </c>
      <c r="G25" s="216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17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6" t="n">
        <f aca="false">IF(A25="","",1)</f>
        <v>1</v>
      </c>
      <c r="J25" s="218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10</v>
      </c>
      <c r="K25" s="218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2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Spirogyra sp.</v>
      </c>
      <c r="M25" s="219"/>
      <c r="N25" s="219"/>
      <c r="O25" s="219"/>
      <c r="P25" s="220" t="s">
        <v>77</v>
      </c>
      <c r="Q25" s="221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1147</v>
      </c>
      <c r="R25" s="206" t="n">
        <f aca="false">IF(ISTEXT(H25),"",(B25*$B$7/100)+(C25*$C$7/100))</f>
        <v>0.03</v>
      </c>
      <c r="S25" s="207" t="n">
        <f aca="false">IF(OR(ISTEXT(H25),R25=0),"",IF(R25&lt;0.1,1,IF(R25&lt;1,2,IF(R25&lt;10,3,IF(R25&lt;50,4,IF(R25&gt;=50,5,""))))))</f>
        <v>1</v>
      </c>
      <c r="T25" s="207" t="n">
        <f aca="false">IF(ISERROR(S25*J25),0,S25*J25)</f>
        <v>10</v>
      </c>
      <c r="U25" s="207" t="n">
        <f aca="false">IF(ISERROR(S25*J25*K25),0,S25*J25*K25)</f>
        <v>10</v>
      </c>
      <c r="V25" s="222" t="n">
        <f aca="false">IF(ISERROR(S25*K25),0,S25*K25)</f>
        <v>1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IF(AND(ISNUMBER(F25),OR(A25="",A25="!!!!!!")),"!!!!!!",IF(A25="new.cod","NEWCOD",IF(AND((Z25=""),ISTEXT(A25),A25&lt;&gt;"!!!!!!"),A25,IF(Z25="","",INDEX('[1]liste reference'!$A$6:$A$1174,Z25)))))</f>
        <v>SPISPX</v>
      </c>
      <c r="Z25" s="192" t="n">
        <f aca="false">IF(ISERROR(MATCH(A25,'[1]liste reference'!$A$6:$A$1174,0)),IF(ISERROR(MATCH(A25,'[1]liste reference'!$B$6:$B$1174,0)),"",(MATCH(A25,'[1]liste reference'!$B$6:$B$1174,0))),(MATCH(A25,'[1]liste reference'!$A$6:$A$1174,0)))</f>
        <v>102</v>
      </c>
    </row>
    <row r="26" customFormat="false" ht="12.75" hidden="false" customHeight="false" outlineLevel="0" collapsed="false">
      <c r="A26" s="210" t="s">
        <v>80</v>
      </c>
      <c r="B26" s="211" t="n">
        <v>0.1</v>
      </c>
      <c r="C26" s="212"/>
      <c r="D26" s="213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Chiloscyphus polyanthos</v>
      </c>
      <c r="E26" s="214" t="e">
        <f aca="false">IF(D26="",,VLOOKUP(D26,D$22:D25,1,0))</f>
        <v>#N/A</v>
      </c>
      <c r="F26" s="215" t="n">
        <f aca="false">IF(AND(OR(A26="",A26="!!!!!!"),B26="",C26=""),"",IF(OR(AND(B26="",C26=""),ISERROR(C26+B26)),"!!!",($B26*$B$7+$C26*$C$7)/100))</f>
        <v>0.1</v>
      </c>
      <c r="G26" s="216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BRh</v>
      </c>
      <c r="H26" s="217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4</v>
      </c>
      <c r="I26" s="6" t="n">
        <f aca="false">IF(A26="","",1)</f>
        <v>1</v>
      </c>
      <c r="J26" s="218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18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2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Chiloscyphus polyanthos</v>
      </c>
      <c r="M26" s="219"/>
      <c r="N26" s="219"/>
      <c r="O26" s="219"/>
      <c r="P26" s="220" t="s">
        <v>77</v>
      </c>
      <c r="Q26" s="221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1186</v>
      </c>
      <c r="R26" s="206" t="n">
        <f aca="false">IF(ISTEXT(H26),"",(B26*$B$7/100)+(C26*$C$7/100))</f>
        <v>0.1</v>
      </c>
      <c r="S26" s="207" t="n">
        <f aca="false">IF(OR(ISTEXT(H26),R26=0),"",IF(R26&lt;0.1,1,IF(R26&lt;1,2,IF(R26&lt;10,3,IF(R26&lt;50,4,IF(R26&gt;=50,5,""))))))</f>
        <v>2</v>
      </c>
      <c r="T26" s="207" t="n">
        <f aca="false">IF(ISERROR(S26*J26),0,S26*J26)</f>
        <v>30</v>
      </c>
      <c r="U26" s="207" t="n">
        <f aca="false">IF(ISERROR(S26*J26*K26),0,S26*J26*K26)</f>
        <v>60</v>
      </c>
      <c r="V26" s="222" t="n">
        <f aca="false">IF(ISERROR(S26*K26),0,S26*K26)</f>
        <v>4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IF(AND(ISNUMBER(F26),OR(A26="",A26="!!!!!!")),"!!!!!!",IF(A26="new.cod","NEWCOD",IF(AND((Z26=""),ISTEXT(A26),A26&lt;&gt;"!!!!!!"),A26,IF(Z26="","",INDEX('[1]liste reference'!$A$6:$A$1174,Z26)))))</f>
        <v>CHIPOL</v>
      </c>
      <c r="Z26" s="192" t="n">
        <f aca="false">IF(ISERROR(MATCH(A26,'[1]liste reference'!$A$6:$A$1174,0)),IF(ISERROR(MATCH(A26,'[1]liste reference'!$B$6:$B$1174,0)),"",(MATCH(A26,'[1]liste reference'!$B$6:$B$1174,0))),(MATCH(A26,'[1]liste reference'!$A$6:$A$1174,0)))</f>
        <v>137</v>
      </c>
    </row>
    <row r="27" customFormat="false" ht="12.75" hidden="false" customHeight="false" outlineLevel="0" collapsed="false">
      <c r="A27" s="210" t="s">
        <v>81</v>
      </c>
      <c r="B27" s="211" t="n">
        <v>0.01</v>
      </c>
      <c r="C27" s="212"/>
      <c r="D27" s="213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Fontinalis antipyretica</v>
      </c>
      <c r="E27" s="214" t="e">
        <f aca="false">IF(D27="",,VLOOKUP(D27,D$22:D26,1,0))</f>
        <v>#N/A</v>
      </c>
      <c r="F27" s="215" t="n">
        <f aca="false">IF(AND(OR(A27="",A27="!!!!!!"),B27="",C27=""),"",IF(OR(AND(B27="",C27=""),ISERROR(C27+B27)),"!!!",($B27*$B$7+$C27*$C$7)/100))</f>
        <v>0.01</v>
      </c>
      <c r="G27" s="216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17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6" t="n">
        <f aca="false">IF(A27="","",1)</f>
        <v>1</v>
      </c>
      <c r="J27" s="218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18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2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Fontinalis antipyretica</v>
      </c>
      <c r="M27" s="219"/>
      <c r="N27" s="219"/>
      <c r="O27" s="219"/>
      <c r="P27" s="220" t="s">
        <v>77</v>
      </c>
      <c r="Q27" s="221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1310</v>
      </c>
      <c r="R27" s="206" t="n">
        <f aca="false">IF(ISTEXT(H27),"",(B27*$B$7/100)+(C27*$C$7/100))</f>
        <v>0.01</v>
      </c>
      <c r="S27" s="207" t="n">
        <f aca="false">IF(OR(ISTEXT(H27),R27=0),"",IF(R27&lt;0.1,1,IF(R27&lt;1,2,IF(R27&lt;10,3,IF(R27&lt;50,4,IF(R27&gt;=50,5,""))))))</f>
        <v>1</v>
      </c>
      <c r="T27" s="207" t="n">
        <f aca="false">IF(ISERROR(S27*J27),0,S27*J27)</f>
        <v>10</v>
      </c>
      <c r="U27" s="207" t="n">
        <f aca="false">IF(ISERROR(S27*J27*K27),0,S27*J27*K27)</f>
        <v>10</v>
      </c>
      <c r="V27" s="222" t="n">
        <f aca="false">IF(ISERROR(S27*K27),0,S27*K27)</f>
        <v>1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IF(AND(ISNUMBER(F27),OR(A27="",A27="!!!!!!")),"!!!!!!",IF(A27="new.cod","NEWCOD",IF(AND((Z27=""),ISTEXT(A27),A27&lt;&gt;"!!!!!!"),A27,IF(Z27="","",INDEX('[1]liste reference'!$A$6:$A$1174,Z27)))))</f>
        <v>FONANT</v>
      </c>
      <c r="Z27" s="192" t="n">
        <f aca="false">IF(ISERROR(MATCH(A27,'[1]liste reference'!$A$6:$A$1174,0)),IF(ISERROR(MATCH(A27,'[1]liste reference'!$B$6:$B$1174,0)),"",(MATCH(A27,'[1]liste reference'!$B$6:$B$1174,0))),(MATCH(A27,'[1]liste reference'!$A$6:$A$1174,0)))</f>
        <v>273</v>
      </c>
    </row>
    <row r="28" customFormat="false" ht="12.75" hidden="false" customHeight="false" outlineLevel="0" collapsed="false">
      <c r="A28" s="210" t="s">
        <v>82</v>
      </c>
      <c r="B28" s="211" t="n">
        <v>1.65</v>
      </c>
      <c r="C28" s="212"/>
      <c r="D28" s="213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Rhynchostegium riparioides</v>
      </c>
      <c r="E28" s="214" t="e">
        <f aca="false">IF(D28="",,VLOOKUP(D28,D$22:D27,1,0))</f>
        <v>#N/A</v>
      </c>
      <c r="F28" s="215" t="n">
        <f aca="false">IF(AND(OR(A28="",A28="!!!!!!"),B28="",C28=""),"",IF(OR(AND(B28="",C28=""),ISERROR(C28+B28)),"!!!",($B28*$B$7+$C28*$C$7)/100))</f>
        <v>1.65</v>
      </c>
      <c r="G28" s="216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17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6" t="n">
        <f aca="false">IF(A28="","",1)</f>
        <v>1</v>
      </c>
      <c r="J28" s="218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18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2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Rhynchostegium riparioides</v>
      </c>
      <c r="M28" s="219"/>
      <c r="N28" s="219"/>
      <c r="O28" s="219"/>
      <c r="P28" s="220" t="s">
        <v>77</v>
      </c>
      <c r="Q28" s="221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31691</v>
      </c>
      <c r="R28" s="206" t="n">
        <f aca="false">IF(ISTEXT(H28),"",(B28*$B$7/100)+(C28*$C$7/100))</f>
        <v>1.65</v>
      </c>
      <c r="S28" s="207" t="n">
        <f aca="false">IF(OR(ISTEXT(H28),R28=0),"",IF(R28&lt;0.1,1,IF(R28&lt;1,2,IF(R28&lt;10,3,IF(R28&lt;50,4,IF(R28&gt;=50,5,""))))))</f>
        <v>3</v>
      </c>
      <c r="T28" s="207" t="n">
        <f aca="false">IF(ISERROR(S28*J28),0,S28*J28)</f>
        <v>36</v>
      </c>
      <c r="U28" s="207" t="n">
        <f aca="false">IF(ISERROR(S28*J28*K28),0,S28*J28*K28)</f>
        <v>36</v>
      </c>
      <c r="V28" s="222" t="n">
        <f aca="false">IF(ISERROR(S28*K28),0,S28*K28)</f>
        <v>3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IF(AND(ISNUMBER(F28),OR(A28="",A28="!!!!!!")),"!!!!!!",IF(A28="new.cod","NEWCOD",IF(AND((Z28=""),ISTEXT(A28),A28&lt;&gt;"!!!!!!"),A28,IF(Z28="","",INDEX('[1]liste reference'!$A$6:$A$1174,Z28)))))</f>
        <v>RHYRIP</v>
      </c>
      <c r="Z28" s="192" t="n">
        <f aca="false">IF(ISERROR(MATCH(A28,'[1]liste reference'!$A$6:$A$1174,0)),IF(ISERROR(MATCH(A28,'[1]liste reference'!$B$6:$B$1174,0)),"",(MATCH(A28,'[1]liste reference'!$B$6:$B$1174,0))),(MATCH(A28,'[1]liste reference'!$A$6:$A$1174,0)))</f>
        <v>345</v>
      </c>
    </row>
    <row r="29" customFormat="false" ht="12.75" hidden="false" customHeight="false" outlineLevel="0" collapsed="false">
      <c r="A29" s="210" t="s">
        <v>83</v>
      </c>
      <c r="B29" s="211" t="n">
        <v>0.01</v>
      </c>
      <c r="C29" s="212"/>
      <c r="D29" s="213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Equisetum fluviatile</v>
      </c>
      <c r="E29" s="214" t="e">
        <f aca="false">IF(D29="",,VLOOKUP(D29,D$22:D28,1,0))</f>
        <v>#N/A</v>
      </c>
      <c r="F29" s="215" t="n">
        <f aca="false">IF(AND(OR(A29="",A29="!!!!!!"),B29="",C29=""),"",IF(OR(AND(B29="",C29=""),ISERROR(C29+B29)),"!!!",($B29*$B$7+$C29*$C$7)/100))</f>
        <v>0.01</v>
      </c>
      <c r="G29" s="216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PTE</v>
      </c>
      <c r="H29" s="217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6</v>
      </c>
      <c r="I29" s="6" t="n">
        <f aca="false">IF(A29="","",1)</f>
        <v>1</v>
      </c>
      <c r="J29" s="218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12</v>
      </c>
      <c r="K29" s="218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2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Equisetum fluviatile</v>
      </c>
      <c r="M29" s="219"/>
      <c r="N29" s="219"/>
      <c r="O29" s="219"/>
      <c r="P29" s="220" t="s">
        <v>77</v>
      </c>
      <c r="Q29" s="221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1385</v>
      </c>
      <c r="R29" s="206" t="n">
        <f aca="false">IF(ISTEXT(H29),"",(B29*$B$7/100)+(C29*$C$7/100))</f>
        <v>0.01</v>
      </c>
      <c r="S29" s="207" t="n">
        <f aca="false">IF(OR(ISTEXT(H29),R29=0),"",IF(R29&lt;0.1,1,IF(R29&lt;1,2,IF(R29&lt;10,3,IF(R29&lt;50,4,IF(R29&gt;=50,5,""))))))</f>
        <v>1</v>
      </c>
      <c r="T29" s="207" t="n">
        <f aca="false">IF(ISERROR(S29*J29),0,S29*J29)</f>
        <v>12</v>
      </c>
      <c r="U29" s="207" t="n">
        <f aca="false">IF(ISERROR(S29*J29*K29),0,S29*J29*K29)</f>
        <v>24</v>
      </c>
      <c r="V29" s="222" t="n">
        <f aca="false">IF(ISERROR(S29*K29),0,S29*K29)</f>
        <v>2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IF(AND(ISNUMBER(F29),OR(A29="",A29="!!!!!!")),"!!!!!!",IF(A29="new.cod","NEWCOD",IF(AND((Z29=""),ISTEXT(A29),A29&lt;&gt;"!!!!!!"),A29,IF(Z29="","",INDEX('[1]liste reference'!$A$6:$A$1174,Z29)))))</f>
        <v>EQUFLU</v>
      </c>
      <c r="Z29" s="192" t="n">
        <f aca="false">IF(ISERROR(MATCH(A29,'[1]liste reference'!$A$6:$A$1174,0)),IF(ISERROR(MATCH(A29,'[1]liste reference'!$B$6:$B$1174,0)),"",(MATCH(A29,'[1]liste reference'!$B$6:$B$1174,0))),(MATCH(A29,'[1]liste reference'!$A$6:$A$1174,0)))</f>
        <v>386</v>
      </c>
    </row>
    <row r="30" customFormat="false" ht="12.75" hidden="false" customHeight="false" outlineLevel="0" collapsed="false">
      <c r="A30" s="210" t="s">
        <v>84</v>
      </c>
      <c r="B30" s="211" t="n">
        <v>0.01</v>
      </c>
      <c r="C30" s="212"/>
      <c r="D30" s="213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Agrostis stolonifera</v>
      </c>
      <c r="E30" s="214" t="e">
        <f aca="false">IF(D30="",,VLOOKUP(D30,D$22:D29,1,0))</f>
        <v>#N/A</v>
      </c>
      <c r="F30" s="215" t="n">
        <f aca="false">IF(AND(OR(A30="",A30="!!!!!!"),B30="",C30=""),"",IF(OR(AND(B30="",C30=""),ISERROR(C30+B30)),"!!!",($B30*$B$7+$C30*$C$7)/100))</f>
        <v>0.01</v>
      </c>
      <c r="G30" s="216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PHe</v>
      </c>
      <c r="H30" s="217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8</v>
      </c>
      <c r="I30" s="6" t="n">
        <f aca="false">IF(A30="","",1)</f>
        <v>1</v>
      </c>
      <c r="J30" s="218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18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2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Agrostis stolonifera</v>
      </c>
      <c r="M30" s="219"/>
      <c r="N30" s="219"/>
      <c r="O30" s="219"/>
      <c r="P30" s="220" t="s">
        <v>77</v>
      </c>
      <c r="Q30" s="221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1543</v>
      </c>
      <c r="R30" s="206" t="n">
        <f aca="false">IF(ISTEXT(H30),"",(B30*$B$7/100)+(C30*$C$7/100))</f>
        <v>0.01</v>
      </c>
      <c r="S30" s="207" t="n">
        <f aca="false">IF(OR(ISTEXT(H30),R30=0),"",IF(R30&lt;0.1,1,IF(R30&lt;1,2,IF(R30&lt;10,3,IF(R30&lt;50,4,IF(R30&gt;=50,5,""))))))</f>
        <v>1</v>
      </c>
      <c r="T30" s="207" t="n">
        <f aca="false">IF(ISERROR(S30*J30),0,S30*J30)</f>
        <v>10</v>
      </c>
      <c r="U30" s="207" t="n">
        <f aca="false">IF(ISERROR(S30*J30*K30),0,S30*J30*K30)</f>
        <v>10</v>
      </c>
      <c r="V30" s="222" t="n">
        <f aca="false">IF(ISERROR(S30*K30),0,S30*K30)</f>
        <v>1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IF(AND(ISNUMBER(F30),OR(A30="",A30="!!!!!!")),"!!!!!!",IF(A30="new.cod","NEWCOD",IF(AND((Z30=""),ISTEXT(A30),A30&lt;&gt;"!!!!!!"),A30,IF(Z30="","",INDEX('[1]liste reference'!$A$6:$A$1174,Z30)))))</f>
        <v>AGRSTO</v>
      </c>
      <c r="Z30" s="192" t="n">
        <f aca="false">IF(ISERROR(MATCH(A30,'[1]liste reference'!$A$6:$A$1174,0)),IF(ISERROR(MATCH(A30,'[1]liste reference'!$B$6:$B$1174,0)),"",(MATCH(A30,'[1]liste reference'!$B$6:$B$1174,0))),(MATCH(A30,'[1]liste reference'!$A$6:$A$1174,0)))</f>
        <v>623</v>
      </c>
    </row>
    <row r="31" customFormat="false" ht="12.75" hidden="false" customHeight="false" outlineLevel="0" collapsed="false">
      <c r="A31" s="210" t="s">
        <v>85</v>
      </c>
      <c r="B31" s="211" t="n">
        <v>0.01</v>
      </c>
      <c r="C31" s="212"/>
      <c r="D31" s="213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Glyceria fluitans</v>
      </c>
      <c r="E31" s="214" t="e">
        <f aca="false">IF(D31="",,VLOOKUP(D31,D$22:D30,1,0))</f>
        <v>#N/A</v>
      </c>
      <c r="F31" s="215" t="n">
        <f aca="false">IF(AND(OR(A31="",A31="!!!!!!"),B31="",C31=""),"",IF(OR(AND(B31="",C31=""),ISERROR(C31+B31)),"!!!",($B31*$B$7+$C31*$C$7)/100))</f>
        <v>0.01</v>
      </c>
      <c r="G31" s="216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PHe</v>
      </c>
      <c r="H31" s="217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8</v>
      </c>
      <c r="I31" s="6" t="n">
        <f aca="false">IF(A31="","",1)</f>
        <v>1</v>
      </c>
      <c r="J31" s="218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14</v>
      </c>
      <c r="K31" s="218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2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Glyceria fluitans</v>
      </c>
      <c r="M31" s="219"/>
      <c r="N31" s="219"/>
      <c r="O31" s="219"/>
      <c r="P31" s="220" t="s">
        <v>77</v>
      </c>
      <c r="Q31" s="221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1564</v>
      </c>
      <c r="R31" s="206" t="n">
        <f aca="false">IF(ISTEXT(H31),"",(B31*$B$7/100)+(C31*$C$7/100))</f>
        <v>0.01</v>
      </c>
      <c r="S31" s="207" t="n">
        <f aca="false">IF(OR(ISTEXT(H31),R31=0),"",IF(R31&lt;0.1,1,IF(R31&lt;1,2,IF(R31&lt;10,3,IF(R31&lt;50,4,IF(R31&gt;=50,5,""))))))</f>
        <v>1</v>
      </c>
      <c r="T31" s="207" t="n">
        <f aca="false">IF(ISERROR(S31*J31),0,S31*J31)</f>
        <v>14</v>
      </c>
      <c r="U31" s="207" t="n">
        <f aca="false">IF(ISERROR(S31*J31*K31),0,S31*J31*K31)</f>
        <v>28</v>
      </c>
      <c r="V31" s="222" t="n">
        <f aca="false">IF(ISERROR(S31*K31),0,S31*K31)</f>
        <v>2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IF(AND(ISNUMBER(F31),OR(A31="",A31="!!!!!!")),"!!!!!!",IF(A31="new.cod","NEWCOD",IF(AND((Z31=""),ISTEXT(A31),A31&lt;&gt;"!!!!!!"),A31,IF(Z31="","",INDEX('[1]liste reference'!$A$6:$A$1174,Z31)))))</f>
        <v>GLYFLU</v>
      </c>
      <c r="Z31" s="192" t="n">
        <f aca="false">IF(ISERROR(MATCH(A31,'[1]liste reference'!$A$6:$A$1174,0)),IF(ISERROR(MATCH(A31,'[1]liste reference'!$B$6:$B$1174,0)),"",(MATCH(A31,'[1]liste reference'!$B$6:$B$1174,0))),(MATCH(A31,'[1]liste reference'!$A$6:$A$1174,0)))</f>
        <v>676</v>
      </c>
    </row>
    <row r="32" customFormat="false" ht="12.75" hidden="false" customHeight="false" outlineLevel="0" collapsed="false">
      <c r="A32" s="210" t="s">
        <v>86</v>
      </c>
      <c r="B32" s="211" t="n">
        <v>0.05</v>
      </c>
      <c r="C32" s="212"/>
      <c r="D32" s="213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Mentha longifolia</v>
      </c>
      <c r="E32" s="214" t="e">
        <f aca="false">IF(D32="",,VLOOKUP(D32,D$22:D31,1,0))</f>
        <v>#N/A</v>
      </c>
      <c r="F32" s="215" t="n">
        <f aca="false">IF(AND(OR(A32="",A32="!!!!!!"),B32="",C32=""),"",IF(OR(AND(B32="",C32=""),ISERROR(C32+B32)),"!!!",($B32*$B$7+$C32*$C$7)/100))</f>
        <v>0.05</v>
      </c>
      <c r="G32" s="216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PHe</v>
      </c>
      <c r="H32" s="217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8</v>
      </c>
      <c r="I32" s="6" t="n">
        <f aca="false">IF(A32="","",1)</f>
        <v>1</v>
      </c>
      <c r="J32" s="218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18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2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Mentha longifolia</v>
      </c>
      <c r="M32" s="219"/>
      <c r="N32" s="219"/>
      <c r="O32" s="219"/>
      <c r="P32" s="220" t="s">
        <v>77</v>
      </c>
      <c r="Q32" s="221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19856</v>
      </c>
      <c r="R32" s="206" t="n">
        <f aca="false">IF(ISTEXT(H32),"",(B32*$B$7/100)+(C32*$C$7/100))</f>
        <v>0.05</v>
      </c>
      <c r="S32" s="207" t="n">
        <f aca="false">IF(OR(ISTEXT(H32),R32=0),"",IF(R32&lt;0.1,1,IF(R32&lt;1,2,IF(R32&lt;10,3,IF(R32&lt;50,4,IF(R32&gt;=50,5,""))))))</f>
        <v>1</v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IF(AND(ISNUMBER(F32),OR(A32="",A32="!!!!!!")),"!!!!!!",IF(A32="new.cod","NEWCOD",IF(AND((Z32=""),ISTEXT(A32),A32&lt;&gt;"!!!!!!"),A32,IF(Z32="","",INDEX('[1]liste reference'!$A$6:$A$1174,Z32)))))</f>
        <v>MENLON</v>
      </c>
      <c r="Z32" s="192" t="n">
        <f aca="false">IF(ISERROR(MATCH(A32,'[1]liste reference'!$A$6:$A$1174,0)),IF(ISERROR(MATCH(A32,'[1]liste reference'!$B$6:$B$1174,0)),"",(MATCH(A32,'[1]liste reference'!$B$6:$B$1174,0))),(MATCH(A32,'[1]liste reference'!$A$6:$A$1174,0)))</f>
        <v>695</v>
      </c>
    </row>
    <row r="33" customFormat="false" ht="12.75" hidden="false" customHeight="false" outlineLevel="0" collapsed="false">
      <c r="A33" s="210" t="s">
        <v>87</v>
      </c>
      <c r="B33" s="211" t="n">
        <v>0.05</v>
      </c>
      <c r="C33" s="212"/>
      <c r="D33" s="213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Phalaris arundinacea</v>
      </c>
      <c r="E33" s="214" t="e">
        <f aca="false">IF(D33="",,VLOOKUP(D33,D$22:D32,1,0))</f>
        <v>#N/A</v>
      </c>
      <c r="F33" s="215" t="n">
        <f aca="false">IF(AND(OR(A33="",A33="!!!!!!"),B33="",C33=""),"",IF(OR(AND(B33="",C33=""),ISERROR(C33+B33)),"!!!",($B33*$B$7+$C33*$C$7)/100))</f>
        <v>0.05</v>
      </c>
      <c r="G33" s="216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PHe</v>
      </c>
      <c r="H33" s="217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8</v>
      </c>
      <c r="I33" s="6" t="n">
        <f aca="false">IF(A33="","",1)</f>
        <v>1</v>
      </c>
      <c r="J33" s="218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10</v>
      </c>
      <c r="K33" s="218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2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Phalaris arundinacea</v>
      </c>
      <c r="M33" s="219"/>
      <c r="N33" s="219"/>
      <c r="O33" s="219"/>
      <c r="P33" s="220" t="s">
        <v>77</v>
      </c>
      <c r="Q33" s="221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1577</v>
      </c>
      <c r="R33" s="206" t="n">
        <f aca="false">IF(ISTEXT(H33),"",(B33*$B$7/100)+(C33*$C$7/100))</f>
        <v>0.05</v>
      </c>
      <c r="S33" s="207" t="n">
        <f aca="false">IF(OR(ISTEXT(H33),R33=0),"",IF(R33&lt;0.1,1,IF(R33&lt;1,2,IF(R33&lt;10,3,IF(R33&lt;50,4,IF(R33&gt;=50,5,""))))))</f>
        <v>1</v>
      </c>
      <c r="T33" s="207" t="n">
        <f aca="false">IF(ISERROR(S33*J33),0,S33*J33)</f>
        <v>10</v>
      </c>
      <c r="U33" s="207" t="n">
        <f aca="false">IF(ISERROR(S33*J33*K33),0,S33*J33*K33)</f>
        <v>10</v>
      </c>
      <c r="V33" s="222" t="n">
        <f aca="false">IF(ISERROR(S33*K33),0,S33*K33)</f>
        <v>1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IF(AND(ISNUMBER(F33),OR(A33="",A33="!!!!!!")),"!!!!!!",IF(A33="new.cod","NEWCOD",IF(AND((Z33=""),ISTEXT(A33),A33&lt;&gt;"!!!!!!"),A33,IF(Z33="","",INDEX('[1]liste reference'!$A$6:$A$1174,Z33)))))</f>
        <v>PHAARU</v>
      </c>
      <c r="Z33" s="192" t="n">
        <f aca="false">IF(ISERROR(MATCH(A33,'[1]liste reference'!$A$6:$A$1174,0)),IF(ISERROR(MATCH(A33,'[1]liste reference'!$B$6:$B$1174,0)),"",(MATCH(A33,'[1]liste reference'!$B$6:$B$1174,0))),(MATCH(A33,'[1]liste reference'!$A$6:$A$1174,0)))</f>
        <v>707</v>
      </c>
    </row>
    <row r="34" customFormat="false" ht="12.75" hidden="false" customHeight="false" outlineLevel="0" collapsed="false">
      <c r="A34" s="210" t="s">
        <v>88</v>
      </c>
      <c r="B34" s="211" t="n">
        <v>0.01</v>
      </c>
      <c r="C34" s="212"/>
      <c r="D34" s="213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Scirpus sylvaticus</v>
      </c>
      <c r="E34" s="214" t="e">
        <f aca="false">IF(D34="",,VLOOKUP(D34,D$22:D33,1,0))</f>
        <v>#N/A</v>
      </c>
      <c r="F34" s="215" t="n">
        <f aca="false">IF(AND(OR(A34="",A34="!!!!!!"),B34="",C34=""),"",IF(OR(AND(B34="",C34=""),ISERROR(C34+B34)),"!!!",($B34*$B$7+$C34*$C$7)/100))</f>
        <v>0.01</v>
      </c>
      <c r="G34" s="216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PHe</v>
      </c>
      <c r="H34" s="217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8</v>
      </c>
      <c r="I34" s="6" t="n">
        <f aca="false">IF(A34="","",1)</f>
        <v>1</v>
      </c>
      <c r="J34" s="218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10</v>
      </c>
      <c r="K34" s="218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2</v>
      </c>
      <c r="L34" s="202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Scirpus sylvaticus</v>
      </c>
      <c r="M34" s="219"/>
      <c r="N34" s="219"/>
      <c r="O34" s="219"/>
      <c r="P34" s="220" t="s">
        <v>77</v>
      </c>
      <c r="Q34" s="221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1525</v>
      </c>
      <c r="R34" s="206" t="n">
        <f aca="false">IF(ISTEXT(H34),"",(B34*$B$7/100)+(C34*$C$7/100))</f>
        <v>0.01</v>
      </c>
      <c r="S34" s="207" t="n">
        <f aca="false">IF(OR(ISTEXT(H34),R34=0),"",IF(R34&lt;0.1,1,IF(R34&lt;1,2,IF(R34&lt;10,3,IF(R34&lt;50,4,IF(R34&gt;=50,5,""))))))</f>
        <v>1</v>
      </c>
      <c r="T34" s="207" t="n">
        <f aca="false">IF(ISERROR(S34*J34),0,S34*J34)</f>
        <v>10</v>
      </c>
      <c r="U34" s="207" t="n">
        <f aca="false">IF(ISERROR(S34*J34*K34),0,S34*J34*K34)</f>
        <v>20</v>
      </c>
      <c r="V34" s="222" t="n">
        <f aca="false">IF(ISERROR(S34*K34),0,S34*K34)</f>
        <v>2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IF(AND(ISNUMBER(F34),OR(A34="",A34="!!!!!!")),"!!!!!!",IF(A34="new.cod","NEWCOD",IF(AND((Z34=""),ISTEXT(A34),A34&lt;&gt;"!!!!!!"),A34,IF(Z34="","",INDEX('[1]liste reference'!$A$6:$A$1174,Z34)))))</f>
        <v>SCISYL</v>
      </c>
      <c r="Z34" s="192" t="n">
        <f aca="false">IF(ISERROR(MATCH(A34,'[1]liste reference'!$A$6:$A$1174,0)),IF(ISERROR(MATCH(A34,'[1]liste reference'!$B$6:$B$1174,0)),"",(MATCH(A34,'[1]liste reference'!$B$6:$B$1174,0))),(MATCH(A34,'[1]liste reference'!$A$6:$A$1174,0)))</f>
        <v>730</v>
      </c>
    </row>
    <row r="35" customFormat="false" ht="12.75" hidden="false" customHeight="false" outlineLevel="0" collapsed="false">
      <c r="A35" s="210" t="s">
        <v>89</v>
      </c>
      <c r="B35" s="211" t="n">
        <v>0.05</v>
      </c>
      <c r="C35" s="212"/>
      <c r="D35" s="213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Sparganium erectum</v>
      </c>
      <c r="E35" s="214" t="e">
        <f aca="false">IF(D35="",,VLOOKUP(D35,D$22:D34,1,0))</f>
        <v>#N/A</v>
      </c>
      <c r="F35" s="215" t="n">
        <f aca="false">IF(AND(OR(A35="",A35="!!!!!!"),B35="",C35=""),"",IF(OR(AND(B35="",C35=""),ISERROR(C35+B35)),"!!!",($B35*$B$7+$C35*$C$7)/100))</f>
        <v>0.05</v>
      </c>
      <c r="G35" s="216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PHe</v>
      </c>
      <c r="H35" s="217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8</v>
      </c>
      <c r="I35" s="6" t="n">
        <f aca="false">IF(A35="","",1)</f>
        <v>1</v>
      </c>
      <c r="J35" s="218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10</v>
      </c>
      <c r="K35" s="218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1</v>
      </c>
      <c r="L35" s="202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Sparganium erectum</v>
      </c>
      <c r="M35" s="219"/>
      <c r="N35" s="219"/>
      <c r="O35" s="219"/>
      <c r="P35" s="220" t="s">
        <v>77</v>
      </c>
      <c r="Q35" s="221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1671</v>
      </c>
      <c r="R35" s="206" t="n">
        <f aca="false">IF(ISTEXT(H35),"",(B35*$B$7/100)+(C35*$C$7/100))</f>
        <v>0.05</v>
      </c>
      <c r="S35" s="207" t="n">
        <f aca="false">IF(OR(ISTEXT(H35),R35=0),"",IF(R35&lt;0.1,1,IF(R35&lt;1,2,IF(R35&lt;10,3,IF(R35&lt;50,4,IF(R35&gt;=50,5,""))))))</f>
        <v>1</v>
      </c>
      <c r="T35" s="207" t="n">
        <f aca="false">IF(ISERROR(S35*J35),0,S35*J35)</f>
        <v>10</v>
      </c>
      <c r="U35" s="207" t="n">
        <f aca="false">IF(ISERROR(S35*J35*K35),0,S35*J35*K35)</f>
        <v>10</v>
      </c>
      <c r="V35" s="222" t="n">
        <f aca="false">IF(ISERROR(S35*K35),0,S35*K35)</f>
        <v>1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IF(AND(ISNUMBER(F35),OR(A35="",A35="!!!!!!")),"!!!!!!",IF(A35="new.cod","NEWCOD",IF(AND((Z35=""),ISTEXT(A35),A35&lt;&gt;"!!!!!!"),A35,IF(Z35="","",INDEX('[1]liste reference'!$A$6:$A$1174,Z35)))))</f>
        <v>SPAERE</v>
      </c>
      <c r="Z35" s="192" t="n">
        <f aca="false">IF(ISERROR(MATCH(A35,'[1]liste reference'!$A$6:$A$1174,0)),IF(ISERROR(MATCH(A35,'[1]liste reference'!$B$6:$B$1174,0)),"",(MATCH(A35,'[1]liste reference'!$B$6:$B$1174,0))),(MATCH(A35,'[1]liste reference'!$A$6:$A$1174,0)))</f>
        <v>732</v>
      </c>
    </row>
    <row r="36" customFormat="false" ht="12.75" hidden="false" customHeight="false" outlineLevel="0" collapsed="false">
      <c r="A36" s="210" t="s">
        <v>90</v>
      </c>
      <c r="B36" s="211" t="n">
        <v>0.05</v>
      </c>
      <c r="C36" s="212"/>
      <c r="D36" s="213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Carex sp.</v>
      </c>
      <c r="E36" s="214" t="e">
        <f aca="false">IF(D36="",,VLOOKUP(D36,D$22:D35,1,0))</f>
        <v>#N/A</v>
      </c>
      <c r="F36" s="215" t="n">
        <f aca="false">IF(AND(OR(A36="",A36="!!!!!!"),B36="",C36=""),"",IF(OR(AND(B36="",C36=""),ISERROR(C36+B36)),"!!!",($B36*$B$7+$C36*$C$7)/100))</f>
        <v>0.05</v>
      </c>
      <c r="G36" s="216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PHx</v>
      </c>
      <c r="H36" s="217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10</v>
      </c>
      <c r="I36" s="6" t="n">
        <f aca="false">IF(A36="","",1)</f>
        <v>1</v>
      </c>
      <c r="J36" s="218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nc</v>
      </c>
      <c r="K36" s="218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nc</v>
      </c>
      <c r="L36" s="202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Carex sp.</v>
      </c>
      <c r="M36" s="219"/>
      <c r="N36" s="219"/>
      <c r="O36" s="219"/>
      <c r="P36" s="220" t="s">
        <v>77</v>
      </c>
      <c r="Q36" s="221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1466</v>
      </c>
      <c r="R36" s="206" t="n">
        <f aca="false">IF(ISTEXT(H36),"",(B36*$B$7/100)+(C36*$C$7/100))</f>
        <v>0.05</v>
      </c>
      <c r="S36" s="207" t="n">
        <f aca="false">IF(OR(ISTEXT(H36),R36=0),"",IF(R36&lt;0.1,1,IF(R36&lt;1,2,IF(R36&lt;10,3,IF(R36&lt;50,4,IF(R36&gt;=50,5,""))))))</f>
        <v>1</v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IF(AND(ISNUMBER(F36),OR(A36="",A36="!!!!!!")),"!!!!!!",IF(A36="new.cod","NEWCOD",IF(AND((Z36=""),ISTEXT(A36),A36&lt;&gt;"!!!!!!"),A36,IF(Z36="","",INDEX('[1]liste reference'!$A$6:$A$1174,Z36)))))</f>
        <v>CARSPX</v>
      </c>
      <c r="Z36" s="192" t="n">
        <f aca="false">IF(ISERROR(MATCH(A36,'[1]liste reference'!$A$6:$A$1174,0)),IF(ISERROR(MATCH(A36,'[1]liste reference'!$B$6:$B$1174,0)),"",(MATCH(A36,'[1]liste reference'!$B$6:$B$1174,0))),(MATCH(A36,'[1]liste reference'!$A$6:$A$1174,0)))</f>
        <v>1037</v>
      </c>
    </row>
    <row r="37" customFormat="false" ht="12.75" hidden="false" customHeight="false" outlineLevel="0" collapsed="false">
      <c r="A37" s="210" t="s">
        <v>91</v>
      </c>
      <c r="B37" s="211" t="n">
        <v>0.01</v>
      </c>
      <c r="C37" s="212"/>
      <c r="D37" s="213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Ranunculus repens</v>
      </c>
      <c r="E37" s="214" t="e">
        <f aca="false">IF(D37="",,VLOOKUP(D37,D$22:D36,1,0))</f>
        <v>#N/A</v>
      </c>
      <c r="F37" s="215" t="n">
        <f aca="false">IF(AND(OR(A37="",A37="!!!!!!"),B37="",C37=""),"",IF(OR(AND(B37="",C37=""),ISERROR(C37+B37)),"!!!",($B37*$B$7+$C37*$C$7)/100))</f>
        <v>0.01</v>
      </c>
      <c r="G37" s="216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PHx</v>
      </c>
      <c r="H37" s="217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10</v>
      </c>
      <c r="I37" s="6" t="n">
        <f aca="false">IF(A37="","",1)</f>
        <v>1</v>
      </c>
      <c r="J37" s="218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nc</v>
      </c>
      <c r="K37" s="218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nc</v>
      </c>
      <c r="L37" s="202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Ranunculus repens</v>
      </c>
      <c r="M37" s="219"/>
      <c r="N37" s="219"/>
      <c r="O37" s="219"/>
      <c r="P37" s="220" t="s">
        <v>77</v>
      </c>
      <c r="Q37" s="221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1910</v>
      </c>
      <c r="R37" s="206" t="n">
        <f aca="false">IF(ISTEXT(H37),"",(B37*$B$7/100)+(C37*$C$7/100))</f>
        <v>0.01</v>
      </c>
      <c r="S37" s="207" t="n">
        <f aca="false">IF(OR(ISTEXT(H37),R37=0),"",IF(R37&lt;0.1,1,IF(R37&lt;1,2,IF(R37&lt;10,3,IF(R37&lt;50,4,IF(R37&gt;=50,5,""))))))</f>
        <v>1</v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IF(AND(ISNUMBER(F37),OR(A37="",A37="!!!!!!")),"!!!!!!",IF(A37="new.cod","NEWCOD",IF(AND((Z37=""),ISTEXT(A37),A37&lt;&gt;"!!!!!!"),A37,IF(Z37="","",INDEX('[1]liste reference'!$A$6:$A$1174,Z37)))))</f>
        <v>RANREP</v>
      </c>
      <c r="Z37" s="192" t="n">
        <f aca="false">IF(ISERROR(MATCH(A37,'[1]liste reference'!$A$6:$A$1174,0)),IF(ISERROR(MATCH(A37,'[1]liste reference'!$B$6:$B$1174,0)),"",(MATCH(A37,'[1]liste reference'!$B$6:$B$1174,0))),(MATCH(A37,'[1]liste reference'!$A$6:$A$1174,0)))</f>
        <v>1128</v>
      </c>
    </row>
    <row r="38" customFormat="false" ht="12.75" hidden="false" customHeight="false" outlineLevel="0" collapsed="false">
      <c r="A38" s="210" t="s">
        <v>92</v>
      </c>
      <c r="B38" s="211" t="n">
        <v>0.01</v>
      </c>
      <c r="C38" s="212"/>
      <c r="D38" s="213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Rubus sp.</v>
      </c>
      <c r="E38" s="214" t="e">
        <f aca="false">IF(D38="",,VLOOKUP(D38,D$22:D37,1,0))</f>
        <v>#N/A</v>
      </c>
      <c r="F38" s="215" t="n">
        <f aca="false">IF(AND(OR(A38="",A38="!!!!!!"),B38="",C38=""),"",IF(OR(AND(B38="",C38=""),ISERROR(C38+B38)),"!!!",($B38*$B$7+$C38*$C$7)/100))</f>
        <v>0.01</v>
      </c>
      <c r="G38" s="216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PHx</v>
      </c>
      <c r="H38" s="217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10</v>
      </c>
      <c r="I38" s="6" t="n">
        <f aca="false">IF(A38="","",1)</f>
        <v>1</v>
      </c>
      <c r="J38" s="218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nc</v>
      </c>
      <c r="K38" s="218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nc</v>
      </c>
      <c r="L38" s="202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Rubus sp.</v>
      </c>
      <c r="M38" s="219"/>
      <c r="N38" s="219"/>
      <c r="O38" s="219"/>
      <c r="P38" s="220" t="s">
        <v>77</v>
      </c>
      <c r="Q38" s="221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29937</v>
      </c>
      <c r="R38" s="206" t="n">
        <f aca="false">IF(ISTEXT(H38),"",(B38*$B$7/100)+(C38*$C$7/100))</f>
        <v>0.01</v>
      </c>
      <c r="S38" s="207" t="n">
        <f aca="false">IF(OR(ISTEXT(H38),R38=0),"",IF(R38&lt;0.1,1,IF(R38&lt;1,2,IF(R38&lt;10,3,IF(R38&lt;50,4,IF(R38&gt;=50,5,""))))))</f>
        <v>1</v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IF(AND(ISNUMBER(F38),OR(A38="",A38="!!!!!!")),"!!!!!!",IF(A38="new.cod","NEWCOD",IF(AND((Z38=""),ISTEXT(A38),A38&lt;&gt;"!!!!!!"),A38,IF(Z38="","",INDEX('[1]liste reference'!$A$6:$A$1174,Z38)))))</f>
        <v>RUBSPX</v>
      </c>
      <c r="Z38" s="192" t="n">
        <f aca="false">IF(ISERROR(MATCH(A38,'[1]liste reference'!$A$6:$A$1174,0)),IF(ISERROR(MATCH(A38,'[1]liste reference'!$B$6:$B$1174,0)),"",(MATCH(A38,'[1]liste reference'!$B$6:$B$1174,0))),(MATCH(A38,'[1]liste reference'!$A$6:$A$1174,0)))</f>
        <v>1138</v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17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6" t="str">
        <f aca="false">IF(A39="","",1)</f>
        <v/>
      </c>
      <c r="J39" s="218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18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2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2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17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6" t="str">
        <f aca="false">IF(A40="","",1)</f>
        <v/>
      </c>
      <c r="J40" s="218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18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2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2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17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6" t="str">
        <f aca="false">IF(A41="","",1)</f>
        <v/>
      </c>
      <c r="J41" s="218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18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2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2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17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6" t="str">
        <f aca="false">IF(A42="","",1)</f>
        <v/>
      </c>
      <c r="J42" s="218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18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2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2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17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6" t="str">
        <f aca="false">IF(A43="","",1)</f>
        <v/>
      </c>
      <c r="J43" s="218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18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2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2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17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6" t="str">
        <f aca="false">IF(A44="","",1)</f>
        <v/>
      </c>
      <c r="J44" s="218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18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2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2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17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6" t="str">
        <f aca="false">IF(A45="","",1)</f>
        <v/>
      </c>
      <c r="J45" s="218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18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2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2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17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6" t="str">
        <f aca="false">IF(A46="","",1)</f>
        <v/>
      </c>
      <c r="J46" s="218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18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2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2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17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6" t="str">
        <f aca="false">IF(A47="","",1)</f>
        <v/>
      </c>
      <c r="J47" s="218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18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2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2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17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6" t="str">
        <f aca="false">IF(A48="","",1)</f>
        <v/>
      </c>
      <c r="J48" s="218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18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2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2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17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6" t="str">
        <f aca="false">IF(A49="","",1)</f>
        <v/>
      </c>
      <c r="J49" s="218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18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2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2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17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6" t="str">
        <f aca="false">IF(A50="","",1)</f>
        <v/>
      </c>
      <c r="J50" s="218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18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2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2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17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6" t="str">
        <f aca="false">IF(A51="","",1)</f>
        <v/>
      </c>
      <c r="J51" s="218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18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2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2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17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6" t="str">
        <f aca="false">IF(A52="","",1)</f>
        <v/>
      </c>
      <c r="J52" s="218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18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2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2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17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6" t="str">
        <f aca="false">IF(A53="","",1)</f>
        <v/>
      </c>
      <c r="J53" s="218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18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2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2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17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6" t="str">
        <f aca="false">IF(A54="","",1)</f>
        <v/>
      </c>
      <c r="J54" s="218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18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2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2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17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6" t="str">
        <f aca="false">IF(A55="","",1)</f>
        <v/>
      </c>
      <c r="J55" s="218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18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2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0" t="s">
        <v>77</v>
      </c>
      <c r="Q55" s="221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2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17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6" t="str">
        <f aca="false">IF(A56="","",1)</f>
        <v/>
      </c>
      <c r="J56" s="218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18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2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2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17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6" t="str">
        <f aca="false">IF(A57="","",1)</f>
        <v/>
      </c>
      <c r="J57" s="218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18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2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19"/>
      <c r="N57" s="219"/>
      <c r="O57" s="219"/>
      <c r="P57" s="220" t="s">
        <v>77</v>
      </c>
      <c r="Q57" s="221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2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17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6" t="str">
        <f aca="false">IF(A58="","",1)</f>
        <v/>
      </c>
      <c r="J58" s="218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18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2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2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17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6" t="str">
        <f aca="false">IF(A59="","",1)</f>
        <v/>
      </c>
      <c r="J59" s="218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18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2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2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17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6" t="str">
        <f aca="false">IF(A60="","",1)</f>
        <v/>
      </c>
      <c r="J60" s="218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18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2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2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17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6" t="str">
        <f aca="false">IF(A61="","",1)</f>
        <v/>
      </c>
      <c r="J61" s="218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18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2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2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17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6" t="str">
        <f aca="false">IF(A62="","",1)</f>
        <v/>
      </c>
      <c r="J62" s="218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18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2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2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17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6" t="str">
        <f aca="false">IF(A63="","",1)</f>
        <v/>
      </c>
      <c r="J63" s="218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18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2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2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17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6" t="str">
        <f aca="false">IF(A64="","",1)</f>
        <v/>
      </c>
      <c r="J64" s="218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18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2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2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17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6" t="str">
        <f aca="false">IF(A65="","",1)</f>
        <v/>
      </c>
      <c r="J65" s="218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18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2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2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17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6" t="str">
        <f aca="false">IF(A66="","",1)</f>
        <v/>
      </c>
      <c r="J66" s="218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18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2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2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17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6" t="str">
        <f aca="false">IF(A67="","",1)</f>
        <v/>
      </c>
      <c r="J67" s="218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18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2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2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17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6" t="str">
        <f aca="false">IF(A68="","",1)</f>
        <v/>
      </c>
      <c r="J68" s="218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18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2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2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17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6" t="str">
        <f aca="false">IF(A69="","",1)</f>
        <v/>
      </c>
      <c r="J69" s="218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18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2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2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17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6" t="str">
        <f aca="false">IF(A70="","",1)</f>
        <v/>
      </c>
      <c r="J70" s="218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18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2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2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17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6" t="str">
        <f aca="false">IF(A71="","",1)</f>
        <v/>
      </c>
      <c r="J71" s="218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18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2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2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17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6" t="str">
        <f aca="false">IF(A72="","",1)</f>
        <v/>
      </c>
      <c r="J72" s="218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18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2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2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17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6" t="str">
        <f aca="false">IF(A73="","",1)</f>
        <v/>
      </c>
      <c r="J73" s="218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18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2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2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17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6" t="str">
        <f aca="false">IF(A74="","",1)</f>
        <v/>
      </c>
      <c r="J74" s="218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18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2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2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17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6" t="str">
        <f aca="false">IF(A75="","",1)</f>
        <v/>
      </c>
      <c r="J75" s="218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18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2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2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17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6" t="str">
        <f aca="false">IF(A76="","",1)</f>
        <v/>
      </c>
      <c r="J76" s="218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18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2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2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17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6" t="str">
        <f aca="false">IF(A77="","",1)</f>
        <v/>
      </c>
      <c r="J77" s="218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18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2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2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17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6" t="str">
        <f aca="false">IF(A78="","",1)</f>
        <v/>
      </c>
      <c r="J78" s="218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18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2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2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17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6" t="str">
        <f aca="false">IF(A79="","",1)</f>
        <v/>
      </c>
      <c r="J79" s="218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18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2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2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17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6" t="str">
        <f aca="false">IF(A80="","",1)</f>
        <v/>
      </c>
      <c r="J80" s="218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18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2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2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17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6" t="str">
        <f aca="false">IF(A81="","",1)</f>
        <v/>
      </c>
      <c r="J81" s="218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18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2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2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3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6" t="str">
        <f aca="false">IF(A82="","",1)</f>
        <v/>
      </c>
      <c r="J82" s="234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34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35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2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4.55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25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EPIE</v>
      </c>
      <c r="B84" s="175" t="str">
        <f aca="false">C3</f>
        <v>ORADOUR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12.2</v>
      </c>
      <c r="E84" s="248" t="n">
        <f aca="false">O13</f>
        <v>16</v>
      </c>
      <c r="F84" s="175" t="n">
        <f aca="false">O14</f>
        <v>12</v>
      </c>
      <c r="G84" s="175" t="n">
        <f aca="false">O15</f>
        <v>7</v>
      </c>
      <c r="H84" s="175" t="n">
        <f aca="false">O16</f>
        <v>5</v>
      </c>
      <c r="I84" s="175" t="n">
        <f aca="false">O17</f>
        <v>0</v>
      </c>
      <c r="J84" s="249" t="n">
        <f aca="false">O8</f>
        <v>11.4166666666667</v>
      </c>
      <c r="K84" s="250" t="n">
        <f aca="false">O9</f>
        <v>2.05986784905138</v>
      </c>
      <c r="L84" s="251" t="n">
        <f aca="false">O10</f>
        <v>9</v>
      </c>
      <c r="M84" s="251" t="n">
        <f aca="false">O11</f>
        <v>15</v>
      </c>
      <c r="N84" s="250" t="n">
        <f aca="false">P8</f>
        <v>1.41666666666667</v>
      </c>
      <c r="O84" s="250" t="n">
        <f aca="false">P9</f>
        <v>0.493006648591635</v>
      </c>
      <c r="P84" s="251" t="n">
        <f aca="false">P10</f>
        <v>1</v>
      </c>
      <c r="Q84" s="251" t="n">
        <f aca="false">P11</f>
        <v>2</v>
      </c>
      <c r="R84" s="251" t="n">
        <f aca="false">F21</f>
        <v>4.55</v>
      </c>
      <c r="S84" s="251" t="n">
        <f aca="false">L11</f>
        <v>0</v>
      </c>
      <c r="T84" s="251" t="n">
        <f aca="false">L12</f>
        <v>3</v>
      </c>
      <c r="U84" s="251" t="n">
        <f aca="false">L13</f>
        <v>3</v>
      </c>
      <c r="V84" s="252" t="n">
        <f aca="false">L15</f>
        <v>9</v>
      </c>
      <c r="W84" s="253" t="n">
        <f aca="false">L15</f>
        <v>9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n">
        <f aca="false">VLOOKUP($T$91,($A$23:$U$82),20,FALSE())</f>
        <v>30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n">
        <f aca="false">VLOOKUP($T$91,($A$23:$U$82),21,FALSE())</f>
        <v>60</v>
      </c>
      <c r="U88" s="6"/>
      <c r="V88" s="6" t="n">
        <f aca="false">COUNTIF(V23:V82,T89)</f>
        <v>2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4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9</v>
      </c>
      <c r="T90" s="258" t="n">
        <f aca="false">IF(OR(ISERROR(SUM($U$23:$U$82)/SUM($V$23:$V$82)),F7&lt;&gt;100),-1,(SUM($U$23:$U$82)-T88)/(SUM($V$23:$V$82)-T89))</f>
        <v>11.6666666666667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str">
        <f aca="false">INDEX('[1]liste reference'!$A$6:$A$1174,$U$91)</f>
        <v>LEASPX</v>
      </c>
      <c r="U91" s="6" t="n">
        <f aca="false">IF(ISERROR(MATCH($T$93,'[1]liste reference'!$A$6:$A$1174,0)),MATCH($T$93,'[1]liste reference'!$B$6:$B$1174,0),(MATCH($T$93,'[1]liste reference'!$A$6:$A$1174,0)))</f>
        <v>59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LEASPX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