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3" sheetId="1" state="visible" r:id="rId3"/>
  </sheets>
  <externalReferences>
    <externalReference r:id="rId4"/>
  </externalReferences>
  <definedNames>
    <definedName function="false" hidden="false" localSheetId="0" name="Excel_BuiltIn_Print_Area" vbProcedure="false">'53'!$A$1:$O$30</definedName>
    <definedName function="false" hidden="false" localSheetId="0" name="Excel_BuiltIn__FilterDatabase" vbProcedure="false">'53'!$A$23:$J$84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2</xdr:row>
                <xdr:rowOff>7</xdr:rowOff>
              </xdr:from>
              <xdr:to>
                <xdr:col>2</xdr:col>
                <xdr:colOff>56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<sst xmlns="http://schemas.openxmlformats.org/spreadsheetml/2006/main" count="101" uniqueCount="95">
  <si>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</si>
  <si>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</si>
  <si>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</si>
  <si>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</si>
  <si>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RUISSEAU DE LA ROCHE</t>
  </si>
  <si>
    <t xml:space="preserve">RUYNES EN MARGERIDE</t>
  </si>
  <si>
    <t xml:space="preserve">05097750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</si>
  <si>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</si>
  <si>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</si>
  <si>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</si>
  <si>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</si>
  <si>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</si>
  <si>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</si>
  <si>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</si>
  <si>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</si>
  <si>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</si>
  <si>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</si>
  <si>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</si>
  <si>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</si>
  <si>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</si>
  <si>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</si>
  <si>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</si>
  <si>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</si>
  <si>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</si>
  <si>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</si>
  <si>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</si>
  <si>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</si>
  <si>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</si>
  <si>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</si>
  <si>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</si>
  <si>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</si>
  <si>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</si>
  <si>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</si>
  <si>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</si>
  <si>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</si>
  <si>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</si>
  <si>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</si>
  <si>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</si>
  <si>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</si>
  <si>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</si>
  <si>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</si>
  <si>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</si>
  <si>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</si>
  <si>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</si>
  <si>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</si>
  <si>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</si>
  <si>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</si>
  <si>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</si>
  <si>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</si>
  <si>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</si>
  <si>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</si>
  <si>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</si>
  <si>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</si>
  <si>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</si>
  <si>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</si>
  <si>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</si>
  <si>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(90 %) et</t>
  </si>
  <si>
    <t xml:space="preserve">rec. pondéré</t>
  </si>
  <si>
    <t xml:space="preserve">voir aussi colonne BB</t>
  </si>
  <si>
    <t xml:space="preserve"> rec. par taxa (0,405 %)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</si>
  <si>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</si>
  <si>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</si>
  <si>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</si>
  <si>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</si>
  <si>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</si>
  <si>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</si>
  <si>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</si>
  <si>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</si>
  <si>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</si>
  <si>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</si>
  <si>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</si>
  <si>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</si>
  <si>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</si>
  <si>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</si>
  <si>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</si>
  <si>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</si>
  <si>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</si>
  <si>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</si>
  <si>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</si>
  <si>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</si>
  <si>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OSCSPX</t>
  </si>
  <si>
    <t xml:space="preserve">CHIPOL</t>
  </si>
  <si>
    <t xml:space="preserve">RHYRIP</t>
  </si>
  <si>
    <t xml:space="preserve">GLYFLU</t>
  </si>
  <si>
    <t xml:space="preserve">MENLON</t>
  </si>
  <si>
    <t xml:space="preserve">RANREP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</si>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</sst>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3_Mphyt_13.01_ADOUR-LOT3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41479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14.6</v>
      </c>
      <c r="M5" s="52"/>
      <c r="N5" s="53" t="s">
        <v>15</v>
      </c>
      <c r="O5" s="54" t="n">
        <v>13.6666666666667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90</v>
      </c>
      <c r="C7" s="66" t="n">
        <v>10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n">
        <f aca="false">IF(ISERROR(AVERAGE(I23:I82)),"     -",AVERAGE(I23:I82))</f>
        <v>13.8333333333333</v>
      </c>
      <c r="O8" s="83" t="n">
        <f aca="false">IF(ISERROR(AVERAGE(J23:J82)),"      -",AVERAGE(J23:J82))</f>
        <v>1.83333333333333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0.45</v>
      </c>
      <c r="C9" s="86" t="n">
        <v>0</v>
      </c>
      <c r="D9" s="87"/>
      <c r="E9" s="87"/>
      <c r="F9" s="88" t="n">
        <f aca="false">($B9*$B$7+$C9*$C$7)/100</f>
        <v>0.405</v>
      </c>
      <c r="G9" s="89"/>
      <c r="H9" s="90"/>
      <c r="I9" s="91"/>
      <c r="J9" s="92"/>
      <c r="K9" s="72"/>
      <c r="L9" s="93"/>
      <c r="M9" s="82" t="s">
        <v>29</v>
      </c>
      <c r="N9" s="83" t="n">
        <f aca="false">IF(ISERROR(STDEVP(I23:I82)),"     -",STDEVP(I23:I82))</f>
        <v>1.77169096878911</v>
      </c>
      <c r="O9" s="83" t="n">
        <f aca="false">IF(ISERROR(STDEVP(J23:J82)),"      -",STDEVP(J23:J82))</f>
        <v>0.687184270936277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 t="s">
        <v>31</v>
      </c>
      <c r="C10" s="98" t="s">
        <v>31</v>
      </c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11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16</v>
      </c>
      <c r="O11" s="105" t="n">
        <f aca="false">MAX(J23:J82)</f>
        <v>3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 t="n">
        <f aca="false">6/0.45</f>
        <v>13.3333333333333</v>
      </c>
      <c r="C12" s="118" t="n">
        <v>0</v>
      </c>
      <c r="D12" s="110"/>
      <c r="E12" s="110"/>
      <c r="F12" s="111" t="n">
        <f aca="false">($B12*$B$7+$C12*$C$7)/100</f>
        <v>12</v>
      </c>
      <c r="G12" s="119"/>
      <c r="H12" s="67"/>
      <c r="I12" s="120" t="s">
        <v>38</v>
      </c>
      <c r="J12" s="120"/>
      <c r="K12" s="114" t="n">
        <f aca="false">COUNTIF($G$23:$G$82,"=ALG")</f>
        <v>2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 t="n">
        <f aca="false">35/0.45</f>
        <v>77.7777777777778</v>
      </c>
      <c r="C13" s="118" t="n">
        <v>0</v>
      </c>
      <c r="D13" s="110"/>
      <c r="E13" s="110"/>
      <c r="F13" s="111" t="n">
        <f aca="false">($B13*$B$7+$C13*$C$7)/100</f>
        <v>70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3</v>
      </c>
      <c r="L13" s="115"/>
      <c r="M13" s="126" t="s">
        <v>41</v>
      </c>
      <c r="N13" s="127" t="n">
        <f aca="false">COUNTIF(F23:F82,"&gt;0")</f>
        <v>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 t="n">
        <v>0</v>
      </c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6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 t="n">
        <f aca="false">100-B12-B13</f>
        <v>8.8888888888889</v>
      </c>
      <c r="C15" s="135" t="n">
        <v>0</v>
      </c>
      <c r="D15" s="110"/>
      <c r="E15" s="110"/>
      <c r="F15" s="111" t="n">
        <f aca="false">($B15*$B$7+$C15*$C$7)/100</f>
        <v>8.00000000000001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3</v>
      </c>
      <c r="L15" s="115"/>
      <c r="M15" s="136" t="s">
        <v>47</v>
      </c>
      <c r="N15" s="137" t="n">
        <f aca="false">COUNTIF(J23:J82,"=1")</f>
        <v>2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 t="n">
        <v>0</v>
      </c>
      <c r="C16" s="109" t="n">
        <v>0</v>
      </c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3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 t="n">
        <f aca="false">100-B18</f>
        <v>91.1111111111111</v>
      </c>
      <c r="C17" s="118" t="n">
        <v>0</v>
      </c>
      <c r="D17" s="110"/>
      <c r="E17" s="110"/>
      <c r="F17" s="142"/>
      <c r="G17" s="111" t="n">
        <f aca="false">($B17*$B$7+$C17*$C$7)/100</f>
        <v>82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1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 t="n">
        <f aca="false">4/0.45</f>
        <v>8.88888888888889</v>
      </c>
      <c r="C18" s="145" t="n">
        <v>0</v>
      </c>
      <c r="D18" s="110"/>
      <c r="E18" s="146" t="s">
        <v>53</v>
      </c>
      <c r="F18" s="142"/>
      <c r="G18" s="111" t="n">
        <f aca="false">($B18*$B$7+$C18*$C$7)/100</f>
        <v>8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90</v>
      </c>
      <c r="G19" s="155" t="n">
        <f aca="false">SUM(G16:G18)</f>
        <v>90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0.45</v>
      </c>
      <c r="C20" s="165" t="n">
        <f aca="false">SUM(C23:C82)</f>
        <v>0</v>
      </c>
      <c r="D20" s="166"/>
      <c r="E20" s="167" t="s">
        <v>53</v>
      </c>
      <c r="F20" s="168" t="n">
        <f aca="false">($B20*$B$7+$C20*$C$7)/100</f>
        <v>0.405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0.405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(0,405 %) supérieur à 20 % !</v>
      </c>
      <c r="E21" s="179" t="str">
        <f aca="false">IF(F21=0,"",IF((ABS(F21-F19))&gt;(0.2*F21),CONCATENATE("ATTENTION : écart entre rec. par grp (",F19," %) ","et",""),""))</f>
        <v>ATTENTION : écart entre rec. par grp (90 %) et</v>
      </c>
      <c r="F21" s="180" t="n">
        <f aca="false">B21+C21</f>
        <v>0.405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0.05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5" t="e">
        <f aca="false">IF(D23="",0,VLOOKUP(D23,D$22:D22,1,0))</f>
        <v>#N/A</v>
      </c>
      <c r="F23" s="206" t="n">
        <f aca="false">($B23*$B$7+$C23*$C$7)/100</f>
        <v>0.045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4" t="n">
        <f aca="false">IF(ISTEXT(H23),"",(B23*$B$7/100)+(C23*$C$7/100))</f>
        <v>0.045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15</v>
      </c>
      <c r="T23" s="215" t="n">
        <f aca="false">IF(ISERROR(R23*I23*J23),0,R23*I23*J23)</f>
        <v>30</v>
      </c>
      <c r="U23" s="215" t="n">
        <f aca="false">IF(ISERROR(R23*J23),0,R23*J23)</f>
        <v>2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LEASPX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0.01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Oscillatoria sp.</v>
      </c>
      <c r="E24" s="223" t="e">
        <f aca="false">IF(D24="",0,VLOOKUP(D24,D$22:D23,1,0))</f>
        <v>#N/A</v>
      </c>
      <c r="F24" s="224" t="n">
        <f aca="false">($B24*$B$7+$C24*$C$7)/100</f>
        <v>0.009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11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Oscillatoria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1108</v>
      </c>
      <c r="Q24" s="214" t="n">
        <f aca="false">IF(ISTEXT(H24),"",(B24*$B$7/100)+(C24*$C$7/100))</f>
        <v>0.009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11</v>
      </c>
      <c r="T24" s="215" t="n">
        <f aca="false">IF(ISERROR(R24*I24*J24),0,R24*I24*J24)</f>
        <v>11</v>
      </c>
      <c r="U24" s="226" t="n">
        <f aca="false">IF(ISERROR(R24*J24),0,R24*J24)</f>
        <v>1</v>
      </c>
      <c r="V24" s="216" t="str">
        <f aca="false">IF(AND(A24="",F24=0),"",IF(F24=0,"Il manque le(s) % de rec. !",""))</f>
        <v/>
      </c>
      <c r="W24" s="227"/>
      <c r="Y24" s="215" t="str">
        <f aca="false">IF(A24="new.cod","NEWCOD",IF(AND((Z24=""),ISTEXT(A24)),A24,IF(Z24="","",INDEX('[1]liste reference'!$A$8:$A$904,Z24))))</f>
        <v>OSCSPX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56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0.05</v>
      </c>
      <c r="C25" s="222"/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Chiloscyphus polyanthos</v>
      </c>
      <c r="E25" s="223" t="e">
        <f aca="false">IF(D25="",0,VLOOKUP(D25,D$22:D24,1,0))</f>
        <v>#N/A</v>
      </c>
      <c r="F25" s="224" t="n">
        <f aca="false">($B25*$B$7+$C25*$C$7)/100</f>
        <v>0.045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BRh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4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Chiloscyphus polyanthos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1186</v>
      </c>
      <c r="Q25" s="214" t="n">
        <f aca="false">IF(ISTEXT(H25),"",(B25*$B$7/100)+(C25*$C$7/100))</f>
        <v>0.045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15</v>
      </c>
      <c r="T25" s="215" t="n">
        <f aca="false">IF(ISERROR(R25*I25*J25),0,R25*I25*J25)</f>
        <v>30</v>
      </c>
      <c r="U25" s="226" t="n">
        <f aca="false">IF(ISERROR(R25*J25),0,R25*J25)</f>
        <v>2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IF(A25="new.cod","NEWCOD",IF(AND((Z25=""),ISTEXT(A25)),A25,IF(Z25="","",INDEX('[1]liste reference'!$A$8:$A$904,Z25))))</f>
        <v>CHIPOL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97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15</v>
      </c>
      <c r="B26" s="221" t="n">
        <v>0.15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Fontinalis squamosa</v>
      </c>
      <c r="E26" s="223" t="e">
        <f aca="false">IF(D26="",0,VLOOKUP(D26,D$22:D25,1,0))</f>
        <v>#N/A</v>
      </c>
      <c r="F26" s="224" t="n">
        <f aca="false">($B26*$B$7+$C26*$C$7)/100</f>
        <v>0.135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16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Fontinalis squamosa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1312</v>
      </c>
      <c r="Q26" s="214" t="n">
        <f aca="false">IF(ISTEXT(H26),"",(B26*$B$7/100)+(C26*$C$7/100))</f>
        <v>0.135</v>
      </c>
      <c r="R26" s="215" t="n">
        <f aca="false">IF(OR(ISTEXT(H26),Q26=0),"",IF(Q26&lt;0.1,1,IF(Q26&lt;1,2,IF(Q26&lt;10,3,IF(Q26&lt;50,4,IF(Q26&gt;=50,5,""))))))</f>
        <v>2</v>
      </c>
      <c r="S26" s="215" t="n">
        <f aca="false">IF(ISERROR(R26*I26),0,R26*I26)</f>
        <v>32</v>
      </c>
      <c r="T26" s="215" t="n">
        <f aca="false">IF(ISERROR(R26*I26*J26),0,R26*I26*J26)</f>
        <v>96</v>
      </c>
      <c r="U26" s="226" t="n">
        <f aca="false">IF(ISERROR(R26*J26),0,R26*J26)</f>
        <v>6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FONSQU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214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0.15</v>
      </c>
      <c r="C27" s="222"/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Rhynchostegium riparioides</v>
      </c>
      <c r="E27" s="223" t="e">
        <f aca="false">IF(D27="",0,VLOOKUP(D27,D$22:D26,1,0))</f>
        <v>#N/A</v>
      </c>
      <c r="F27" s="224" t="n">
        <f aca="false">($B27*$B$7+$C27*$C$7)/100</f>
        <v>0.135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Rhynchostegium riparioides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1268</v>
      </c>
      <c r="Q27" s="214" t="n">
        <f aca="false">IF(ISTEXT(H27),"",(B27*$B$7/100)+(C27*$C$7/100))</f>
        <v>0.135</v>
      </c>
      <c r="R27" s="215" t="n">
        <f aca="false">IF(OR(ISTEXT(H27),Q27=0),"",IF(Q27&lt;0.1,1,IF(Q27&lt;1,2,IF(Q27&lt;10,3,IF(Q27&lt;50,4,IF(Q27&gt;=50,5,""))))))</f>
        <v>2</v>
      </c>
      <c r="S27" s="215" t="n">
        <f aca="false">IF(ISERROR(R27*I27),0,R27*I27)</f>
        <v>24</v>
      </c>
      <c r="T27" s="215" t="n">
        <f aca="false">IF(ISERROR(R27*I27*J27),0,R27*I27*J27)</f>
        <v>24</v>
      </c>
      <c r="U27" s="226" t="n">
        <f aca="false">IF(ISERROR(R27*J27),0,R27*J27)</f>
        <v>2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RHYRIP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252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0.02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Glyceria fluitans</v>
      </c>
      <c r="E28" s="223" t="e">
        <f aca="false">IF(D28="",0,VLOOKUP(D28,D$22:D27,1,0))</f>
        <v>#N/A</v>
      </c>
      <c r="F28" s="224" t="n">
        <f aca="false">($B28*$B$7+$C28*$C$7)/100</f>
        <v>0.018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PHe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8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14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Glyceria fluitans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1564</v>
      </c>
      <c r="Q28" s="214" t="n">
        <f aca="false">IF(ISTEXT(H28),"",(B28*$B$7/100)+(C28*$C$7/100))</f>
        <v>0.018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14</v>
      </c>
      <c r="T28" s="215" t="n">
        <f aca="false">IF(ISERROR(R28*I28*J28),0,R28*I28*J28)</f>
        <v>28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GLYFLU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575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0.01</v>
      </c>
      <c r="C29" s="222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Mentha longifolia</v>
      </c>
      <c r="E29" s="223" t="e">
        <f aca="false">IF(D29="",0,VLOOKUP(D29,D$22:D28,1,0))</f>
        <v>#N/A</v>
      </c>
      <c r="F29" s="224" t="n">
        <f aca="false">($B29*$B$7+$C29*$C$7)/100</f>
        <v>0.009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PHe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8</v>
      </c>
      <c r="I29" s="209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09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Mentha longifolia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19856</v>
      </c>
      <c r="Q29" s="214" t="n">
        <f aca="false">IF(ISTEXT(H29),"",(B29*$B$7/100)+(C29*$C$7/100))</f>
        <v>0.009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IF(A29="new.cod","NEWCOD",IF(AND((Z29=""),ISTEXT(A29)),A29,IF(Z29="","",INDEX('[1]liste reference'!$A$8:$A$904,Z29))))</f>
        <v>MENLON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609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0.01</v>
      </c>
      <c r="C30" s="222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Ranunculus repens</v>
      </c>
      <c r="E30" s="223" t="e">
        <f aca="false">IF(D30="",0,VLOOKUP(D30,D$22:D29,1,0))</f>
        <v>#N/A</v>
      </c>
      <c r="F30" s="224" t="n">
        <f aca="false">($B30*$B$7+$C30*$C$7)/100</f>
        <v>0.009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PHg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9</v>
      </c>
      <c r="I30" s="209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09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Ranunculus repens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1910</v>
      </c>
      <c r="Q30" s="214" t="n">
        <f aca="false">IF(ISTEXT(H30),"",(B30*$B$7/100)+(C30*$C$7/100))</f>
        <v>0.009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RANREP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803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8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5"/>
      <c r="M31" s="225"/>
      <c r="N31" s="225"/>
      <c r="O31" s="212"/>
      <c r="P31" s="213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/>
      </c>
      <c r="Z31" s="9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8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09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09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5"/>
      <c r="M32" s="225"/>
      <c r="N32" s="225"/>
      <c r="O32" s="212"/>
      <c r="P32" s="213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IF(A32="new.cod","NEWCOD",IF(AND((Z32=""),ISTEXT(A32)),A32,IF(Z32="","",INDEX('[1]liste reference'!$A$8:$A$904,Z32))))</f>
        <v/>
      </c>
      <c r="Z32" s="9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8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5"/>
      <c r="M33" s="225"/>
      <c r="N33" s="225"/>
      <c r="O33" s="212"/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/>
      </c>
      <c r="Z33" s="9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5"/>
      <c r="M34" s="225"/>
      <c r="N34" s="225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/>
      </c>
      <c r="Z34" s="9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5"/>
      <c r="M35" s="225"/>
      <c r="N35" s="225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/>
      </c>
      <c r="Z35" s="9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5"/>
      <c r="M36" s="225"/>
      <c r="N36" s="225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/>
      </c>
      <c r="Z36" s="9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0"/>
      <c r="M60" s="230"/>
      <c r="N60" s="230"/>
      <c r="O60" s="212"/>
      <c r="P60" s="23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RUISSEAU DE LA ROCHE</v>
      </c>
      <c r="B84" s="256" t="str">
        <f aca="false">C3</f>
        <v>RUYNES EN MARGERIDE</v>
      </c>
      <c r="C84" s="257" t="n">
        <f aca="false">A4</f>
        <v>41479</v>
      </c>
      <c r="D84" s="258" t="n">
        <f aca="false">IF(ISERROR(SUM($T$23:$T$82)/SUM($U$23:$U$82)),"",SUM($T$23:$T$82)/SUM($U$23:$U$82))</f>
        <v>14.6</v>
      </c>
      <c r="E84" s="259" t="n">
        <f aca="false">N13</f>
        <v>8</v>
      </c>
      <c r="F84" s="256" t="n">
        <f aca="false">N14</f>
        <v>6</v>
      </c>
      <c r="G84" s="256" t="n">
        <f aca="false">N15</f>
        <v>2</v>
      </c>
      <c r="H84" s="256" t="n">
        <f aca="false">N16</f>
        <v>3</v>
      </c>
      <c r="I84" s="256" t="n">
        <f aca="false">N17</f>
        <v>1</v>
      </c>
      <c r="J84" s="260" t="n">
        <f aca="false">N8</f>
        <v>13.8333333333333</v>
      </c>
      <c r="K84" s="258" t="n">
        <f aca="false">N9</f>
        <v>1.77169096878911</v>
      </c>
      <c r="L84" s="259" t="n">
        <f aca="false">N10</f>
        <v>11</v>
      </c>
      <c r="M84" s="259" t="n">
        <f aca="false">N11</f>
        <v>16</v>
      </c>
      <c r="N84" s="258" t="n">
        <f aca="false">O8</f>
        <v>1.83333333333333</v>
      </c>
      <c r="O84" s="258" t="n">
        <f aca="false">O9</f>
        <v>0.687184270936277</v>
      </c>
      <c r="P84" s="259" t="n">
        <f aca="false">O10</f>
        <v>1</v>
      </c>
      <c r="Q84" s="259" t="n">
        <f aca="false">O11</f>
        <v>3</v>
      </c>
      <c r="R84" s="259" t="n">
        <f aca="false">F21</f>
        <v>0.405</v>
      </c>
      <c r="S84" s="259" t="n">
        <f aca="false">K11</f>
        <v>0</v>
      </c>
      <c r="T84" s="259" t="n">
        <f aca="false">K12</f>
        <v>2</v>
      </c>
      <c r="U84" s="259" t="n">
        <f aca="false">K13</f>
        <v>3</v>
      </c>
      <c r="V84" s="261" t="n">
        <f aca="false">K14</f>
        <v>0</v>
      </c>
      <c r="W84" s="262" t="n">
        <f aca="false">K15</f>
        <v>3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88</v>
      </c>
      <c r="R87" s="9"/>
      <c r="S87" s="216" t="n">
        <f aca="false">VLOOKUP(MAX($S$23:$S$82),($S$23:$U$82),1,0)</f>
        <v>32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89</v>
      </c>
      <c r="R88" s="9"/>
      <c r="S88" s="216" t="n">
        <f aca="false">VLOOKUP((S87),($S$23:$U$82),2,0)</f>
        <v>96</v>
      </c>
      <c r="T88" s="9"/>
      <c r="U88" s="9"/>
      <c r="V88" s="9"/>
    </row>
    <row r="89" customFormat="false" ht="12.75" hidden="true" customHeight="false" outlineLevel="0" collapsed="false">
      <c r="Q89" s="9" t="s">
        <v>90</v>
      </c>
      <c r="R89" s="9"/>
      <c r="S89" s="216" t="n">
        <f aca="false">VLOOKUP((S87),($S$23:$U$82),3,0)</f>
        <v>6</v>
      </c>
      <c r="T89" s="9"/>
    </row>
    <row r="90" customFormat="false" ht="12.75" hidden="false" customHeight="false" outlineLevel="0" collapsed="false">
      <c r="Q90" s="9" t="s">
        <v>91</v>
      </c>
      <c r="R90" s="9"/>
      <c r="S90" s="264" t="n">
        <f aca="false">IF(ISERROR(SUM($T$23:$T$82)/SUM($U$23:$U$82)),"",(SUM($T$23:$T$82)-S88)/(SUM($U$23:$U$82)-S89))</f>
        <v>13.6666666666667</v>
      </c>
      <c r="T90" s="9"/>
    </row>
    <row r="91" customFormat="false" ht="12.75" hidden="false" customHeight="false" outlineLevel="0" collapsed="false">
      <c r="Q91" s="215" t="s">
        <v>92</v>
      </c>
      <c r="R91" s="215"/>
      <c r="S91" s="215" t="str">
        <f aca="false">INDEX('[1]liste reference'!$A$8:$A$904,$T$91)</f>
        <v>FONSQU</v>
      </c>
      <c r="T91" s="9" t="n">
        <f aca="false">IF(ISERROR(MATCH($S$93,'[1]liste reference'!$A$8:$A$904,0)),MATCH($S$93,'[1]liste reference'!$B$8:$B$904,0),(MATCH($S$93,'[1]liste reference'!$A$8:$A$904,0)))</f>
        <v>214</v>
      </c>
      <c r="U91" s="254"/>
    </row>
    <row r="92" customFormat="false" ht="12.75" hidden="false" customHeight="false" outlineLevel="0" collapsed="false">
      <c r="Q92" s="9" t="s">
        <v>93</v>
      </c>
      <c r="R92" s="9"/>
      <c r="S92" s="9" t="n">
        <f aca="false">MATCH(S87,$S$23:$S$82,0)</f>
        <v>4</v>
      </c>
      <c r="T92" s="9"/>
    </row>
    <row r="93" customFormat="false" ht="12.75" hidden="false" customHeight="false" outlineLevel="0" collapsed="false">
      <c r="Q93" s="215" t="s">
        <v>94</v>
      </c>
      <c r="R93" s="9"/>
      <c r="S93" s="215" t="str">
        <f aca="false">INDEX($A$23:$A$82,$S$92)</f>
        <v>FONSQU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4">
    <cfRule type="cellIs" priority="28" operator="between" aboveAverage="0" equalAverage="0" bottom="0" percent="0" rank="0" text="" dxfId="26">
      <formula>"(Date)"</formula>
      <formula>"(Date)"</formula>
    </cfRule>
    <cfRule type="cellIs" priority="29" operator="notBetween" aboveAverage="0" equalAverage="0" bottom="0" percent="0" rank="0" text="" dxfId="27">
      <formula>"(Date)"</formula>
      <formula>"(Date)"</formula>
    </cfRule>
  </conditionalFormatting>
  <conditionalFormatting sqref="A4">
    <cfRule type="cellIs" priority="30" operator="between" aboveAverage="0" equalAverage="0" bottom="0" percent="0" rank="0" text="" dxfId="28">
      <formula>"(Date)"</formula>
      <formula>"(Date)"</formula>
    </cfRule>
    <cfRule type="cellIs" priority="31" operator="notBetween" aboveAverage="0" equalAverage="0" bottom="0" percent="0" rank="0" text="" dxfId="29">
      <formula>"(Date)"</formula>
      <formula>"(Date)"</formula>
    </cfRule>
  </conditionalFormatting>
  <conditionalFormatting sqref="A4">
    <cfRule type="cellIs" priority="32" operator="between" aboveAverage="0" equalAverage="0" bottom="0" percent="0" rank="0" text="" dxfId="30">
      <formula>"(Date)"</formula>
      <formula>"(Date)"</formula>
    </cfRule>
    <cfRule type="cellIs" priority="33" operator="notBetween" aboveAverage="0" equalAverage="0" bottom="0" percent="0" rank="0" text="" dxfId="31">
      <formula>"(Date)"</formula>
      <formula>"(Date)"</formula>
    </cfRule>
  </conditionalFormatting>
  <conditionalFormatting sqref="A4">
    <cfRule type="cellIs" priority="34" operator="between" aboveAverage="0" equalAverage="0" bottom="0" percent="0" rank="0" text="" dxfId="32">
      <formula>"(Date)"</formula>
      <formula>"(Date)"</formula>
    </cfRule>
    <cfRule type="cellIs" priority="35" operator="notBetween" aboveAverage="0" equalAverage="0" bottom="0" percent="0" rank="0" text="" dxfId="33">
      <formula>"(Date)"</formula>
      <formula>"(Date)"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2024-04-30T10:27:13Z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