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3" sheetId="1" state="visible" r:id="rId3"/>
  </sheets>
  <externalReferences>
    <externalReference r:id="rId4"/>
  </externalReferences>
  <definedNames>
    <definedName function="false" hidden="false" localSheetId="0" name="Excel_BuiltIn_Print_Area" vbProcedure="false">'53'!$A$1:$O$32</definedName>
    <definedName function="false" hidden="false" localSheetId="0" name="Excel_BuiltIn__FilterDatabase" vbProcedure="false">'53'!$A$23:$J$84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<sst xmlns="http://schemas.openxmlformats.org/spreadsheetml/2006/main" count="101" uniqueCount="96">
  <si>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</si>
  <si>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</si>
  <si>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</si>
  <si>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</si>
  <si>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RUISSEAU DE LA ROCHE</t>
  </si>
  <si>
    <t xml:space="preserve">RUYNES EN MARGERIDE</t>
  </si>
  <si>
    <t xml:space="preserve">05097750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</si>
  <si>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</si>
  <si>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</si>
  <si>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</si>
  <si>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</si>
  <si>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</si>
  <si>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</si>
  <si>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</si>
  <si>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</si>
  <si>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</si>
  <si>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</si>
  <si>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</si>
  <si>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</si>
  <si>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</si>
  <si>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</si>
  <si>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</si>
  <si>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</si>
  <si>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</si>
  <si>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</si>
  <si>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</si>
  <si>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</si>
  <si>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</si>
  <si>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</si>
  <si>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</si>
  <si>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</si>
  <si>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</si>
  <si>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</si>
  <si>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</si>
  <si>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</si>
  <si>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</si>
  <si>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</si>
  <si>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</si>
  <si>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</si>
  <si>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</si>
  <si>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</si>
  <si>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</si>
  <si>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</si>
  <si>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</si>
  <si>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</si>
  <si>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</si>
  <si>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</si>
  <si>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</si>
  <si>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</si>
  <si>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</si>
  <si>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</si>
  <si>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</si>
  <si>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</si>
  <si>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</si>
  <si>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</si>
  <si>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(100 %) et</t>
  </si>
  <si>
    <t xml:space="preserve">rec. pondéré</t>
  </si>
  <si>
    <t xml:space="preserve">voir aussi colonne BB</t>
  </si>
  <si>
    <t xml:space="preserve"> rec. par taxa (0,431 %)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</si>
  <si>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</si>
  <si>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</si>
  <si>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</si>
  <si>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</si>
  <si>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</si>
  <si>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</si>
  <si>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</si>
  <si>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</si>
  <si>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</si>
  <si>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</si>
  <si>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</si>
  <si>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</si>
  <si>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</si>
  <si>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</si>
  <si>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</si>
  <si>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</si>
  <si>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</si>
  <si>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</si>
  <si>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</si>
  <si>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LEASPX</t>
  </si>
  <si>
    <t xml:space="preserve">CHIPOL</t>
  </si>
  <si>
    <t xml:space="preserve">BRARIV</t>
  </si>
  <si>
    <t xml:space="preserve">FONANT</t>
  </si>
  <si>
    <t xml:space="preserve">FONSQU</t>
  </si>
  <si>
    <t xml:space="preserve">AGRSTO</t>
  </si>
  <si>
    <t xml:space="preserve">GLYFLU</t>
  </si>
  <si>
    <t xml:space="preserve">MENLON</t>
  </si>
  <si>
    <t xml:space="preserve">RANREP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</si>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</sst>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4_Mphyt_14.01_IBMR-ADOUR_JMI_calculs_$a_BV%20Lot_AU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53"/>
      <sheetName val="54"/>
      <sheetName val="55"/>
      <sheetName val="56"/>
      <sheetName val="61"/>
      <sheetName val="modele"/>
      <sheetName val="liste codes réf"/>
    </sheetNames>
    <sheetDataSet>
      <sheetData sheetId="0"/>
      <sheetData sheetId="1">
        <row r="1">
          <cell r="A1" t="str">
            <v>LISTE DES TAXA AQUATIQUES POTENTIELLEMENT RENCONTRES EN FRANCE</v>
          </cell>
        </row>
        <row r="2">
          <cell r="A2" t="str">
            <v>notes spécifiques et coefficients de sténoécie</v>
          </cell>
        </row>
        <row r="5">
          <cell r="A5" t="str">
            <v>CODE</v>
          </cell>
          <cell r="B5" t="str">
            <v>version 3.1.1 - janvier 2013</v>
          </cell>
        </row>
        <row r="6">
          <cell r="B6" t="str">
            <v>Conforme à la norme NF T9-395 (octobre 23)</v>
          </cell>
        </row>
        <row r="7">
          <cell r="A7" t="str">
            <v>LEPSPX</v>
          </cell>
          <cell r="B7" t="str">
            <v>Batrachospermum sp.</v>
          </cell>
          <cell r="C7">
            <v>16</v>
          </cell>
        </row>
        <row r="7">
          <cell r="E7" t="str">
            <v>(L.) Nees</v>
          </cell>
          <cell r="F7" t="str">
            <v>Enteromorpha compressa (L.) Greville</v>
          </cell>
        </row>
        <row r="7">
          <cell r="M7" t="str">
            <v>LI</v>
          </cell>
          <cell r="N7">
            <v>4</v>
          </cell>
        </row>
        <row r="8">
          <cell r="A8" t="str">
            <v>SPTSPX</v>
          </cell>
          <cell r="B8" t="str">
            <v>Binuclearia sp.</v>
          </cell>
          <cell r="C8">
            <v>13</v>
          </cell>
          <cell r="D8">
            <v>1</v>
          </cell>
          <cell r="E8" t="str">
            <v>Gomont</v>
          </cell>
        </row>
        <row r="8">
          <cell r="M8" t="str">
            <v>LIC</v>
          </cell>
          <cell r="N8">
            <v>4</v>
          </cell>
        </row>
        <row r="9">
          <cell r="B9" t="str">
            <v>Chaetophora sp.</v>
          </cell>
          <cell r="C9">
            <v>12</v>
          </cell>
          <cell r="D9">
            <v>1</v>
          </cell>
          <cell r="E9" t="str">
            <v>(Liebm.) J.Agardh</v>
          </cell>
          <cell r="F9" t="str">
            <v>Agmenellum Bréb.</v>
          </cell>
        </row>
        <row r="9">
          <cell r="M9" t="str">
            <v>LIC</v>
          </cell>
          <cell r="N9">
            <v>4</v>
          </cell>
        </row>
        <row r="10">
          <cell r="A10" t="str">
            <v>ANASPX</v>
          </cell>
          <cell r="B10" t="str">
            <v>Chara aculeolata</v>
          </cell>
          <cell r="C10">
            <v>15</v>
          </cell>
          <cell r="D10">
            <v>2</v>
          </cell>
          <cell r="E10" t="str">
            <v>(Thuret) Kirchner (janthina)</v>
          </cell>
        </row>
        <row r="10">
          <cell r="G10" t="str">
            <v>Nitella opaca (Bruzelius) C.Agardh</v>
          </cell>
        </row>
        <row r="10">
          <cell r="M10" t="str">
            <v>LIC</v>
          </cell>
          <cell r="N10">
            <v>4</v>
          </cell>
        </row>
        <row r="10">
          <cell r="P10" t="str">
            <v>IBMR</v>
          </cell>
        </row>
        <row r="11">
          <cell r="A11" t="str">
            <v>APHSPX</v>
          </cell>
          <cell r="B11" t="str">
            <v>Chara aspera</v>
          </cell>
        </row>
        <row r="11">
          <cell r="E11" t="str">
            <v>Roth</v>
          </cell>
          <cell r="F11" t="str">
            <v>Microcystis flos-aquae (Wittr.) Kirchn.</v>
          </cell>
        </row>
        <row r="11">
          <cell r="M11" t="str">
            <v>LIC</v>
          </cell>
          <cell r="N11">
            <v>4</v>
          </cell>
        </row>
        <row r="12">
          <cell r="A12" t="str">
            <v>AUDSPX</v>
          </cell>
          <cell r="B12" t="str">
            <v>Chara braunii</v>
          </cell>
        </row>
        <row r="12">
          <cell r="D12">
            <v>2</v>
          </cell>
          <cell r="E12" t="str">
            <v>C. Agardh</v>
          </cell>
        </row>
        <row r="12">
          <cell r="G12" t="str">
            <v>Nitella furcata subsp mucronata (A.Braun) R.D.Wood</v>
          </cell>
        </row>
        <row r="12">
          <cell r="M12" t="str">
            <v>BR</v>
          </cell>
          <cell r="N12">
            <v>4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Chara canescens</v>
          </cell>
          <cell r="C13">
            <v>13</v>
          </cell>
          <cell r="D13">
            <v>3</v>
          </cell>
          <cell r="E13" t="str">
            <v>(L.) C.Agardh</v>
          </cell>
          <cell r="F13" t="str">
            <v>Conferva fluviatilis  L.</v>
          </cell>
        </row>
        <row r="13">
          <cell r="M13" t="str">
            <v>BR</v>
          </cell>
          <cell r="N13">
            <v>4</v>
          </cell>
        </row>
        <row r="14">
          <cell r="A14" t="str">
            <v>BATSPX</v>
          </cell>
          <cell r="B14" t="str">
            <v>Chara contraria</v>
          </cell>
        </row>
        <row r="14">
          <cell r="D14">
            <v>2</v>
          </cell>
          <cell r="E14" t="str">
            <v>C. Agardh</v>
          </cell>
        </row>
        <row r="14">
          <cell r="M14" t="str">
            <v>BRh</v>
          </cell>
          <cell r="N14">
            <v>4</v>
          </cell>
        </row>
        <row r="15">
          <cell r="A15" t="str">
            <v>BINSPX</v>
          </cell>
          <cell r="B15" t="str">
            <v>Chara globularis</v>
          </cell>
          <cell r="C15">
            <v>13</v>
          </cell>
        </row>
        <row r="15">
          <cell r="E15" t="str">
            <v>C. Agardh</v>
          </cell>
        </row>
        <row r="15">
          <cell r="M15" t="str">
            <v>BRh</v>
          </cell>
          <cell r="N15">
            <v>4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Chara gymnophylla</v>
          </cell>
          <cell r="C16">
            <v>6</v>
          </cell>
          <cell r="D16">
            <v>2</v>
          </cell>
          <cell r="E16" t="str">
            <v>Meyen</v>
          </cell>
          <cell r="F16" t="str">
            <v>Agmenellum Bréb.</v>
          </cell>
        </row>
        <row r="16">
          <cell r="M16" t="str">
            <v>BRh</v>
          </cell>
          <cell r="N16">
            <v>4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hispida</v>
          </cell>
          <cell r="C17">
            <v>15</v>
          </cell>
        </row>
        <row r="17">
          <cell r="E17" t="str">
            <v>Desmazières</v>
          </cell>
          <cell r="F17" t="str">
            <v>Chara flexilis L.</v>
          </cell>
          <cell r="G17" t="str">
            <v>Nitella opaca (Bruzelius) C.Agardh</v>
          </cell>
        </row>
        <row r="17">
          <cell r="M17" t="str">
            <v>BRh</v>
          </cell>
          <cell r="N17">
            <v>4</v>
          </cell>
        </row>
        <row r="18">
          <cell r="A18" t="str">
            <v>CHAASP</v>
          </cell>
          <cell r="B18" t="str">
            <v>Chara intermedia</v>
          </cell>
        </row>
        <row r="18">
          <cell r="D18">
            <v>2</v>
          </cell>
          <cell r="E18" t="str">
            <v>Kütz. em. Elenkin</v>
          </cell>
          <cell r="F18" t="str">
            <v>Chara gracilis Sm.</v>
          </cell>
        </row>
        <row r="18">
          <cell r="M18" t="str">
            <v>BRh</v>
          </cell>
          <cell r="N18">
            <v>4</v>
          </cell>
        </row>
        <row r="19">
          <cell r="A19" t="str">
            <v>CHABRA</v>
          </cell>
          <cell r="B19" t="str">
            <v>Chara sp.</v>
          </cell>
          <cell r="C19">
            <v>12</v>
          </cell>
          <cell r="D19">
            <v>2</v>
          </cell>
          <cell r="E19" t="str">
            <v>Kützing</v>
          </cell>
          <cell r="F19" t="str">
            <v>Chara mucronata A. Braun</v>
          </cell>
          <cell r="G19" t="str">
            <v>Nitella furcata subsp mucronata (A.Braun) R.D.Wood</v>
          </cell>
        </row>
        <row r="19">
          <cell r="M19" t="str">
            <v>BRh</v>
          </cell>
          <cell r="N19">
            <v>4</v>
          </cell>
        </row>
        <row r="19">
          <cell r="P19" t="str">
            <v>IBMR</v>
          </cell>
        </row>
        <row r="20">
          <cell r="A20" t="str">
            <v>CHACAN</v>
          </cell>
          <cell r="B20" t="str">
            <v>Chara vulgaris</v>
          </cell>
          <cell r="C20">
            <v>18</v>
          </cell>
          <cell r="D20">
            <v>2</v>
          </cell>
          <cell r="E20" t="str">
            <v>Thuret</v>
          </cell>
          <cell r="F20" t="str">
            <v>Chara opaca Bruzelius.</v>
          </cell>
        </row>
        <row r="20">
          <cell r="M20" t="str">
            <v>BRh</v>
          </cell>
          <cell r="N20">
            <v>4</v>
          </cell>
        </row>
        <row r="20">
          <cell r="P20" t="str">
            <v>IBMR</v>
          </cell>
        </row>
        <row r="21">
          <cell r="A21" t="str">
            <v>CHACON</v>
          </cell>
          <cell r="B21" t="str">
            <v>Chlorhormidium sp.</v>
          </cell>
          <cell r="C21">
            <v>3</v>
          </cell>
          <cell r="D21">
            <v>2</v>
          </cell>
          <cell r="E21" t="str">
            <v>Thuret</v>
          </cell>
        </row>
        <row r="21">
          <cell r="M21" t="str">
            <v>BRh</v>
          </cell>
          <cell r="N21">
            <v>4</v>
          </cell>
        </row>
        <row r="22">
          <cell r="A22" t="str">
            <v>CHAGLO</v>
          </cell>
          <cell r="B22" t="str">
            <v>Chlorotylium sp.</v>
          </cell>
        </row>
        <row r="22">
          <cell r="D22">
            <v>1</v>
          </cell>
          <cell r="E22" t="str">
            <v>C. Agardh</v>
          </cell>
          <cell r="F22" t="str">
            <v>Chara tenuissima Desv.</v>
          </cell>
        </row>
        <row r="22">
          <cell r="M22" t="str">
            <v>BRh</v>
          </cell>
          <cell r="N22">
            <v>4</v>
          </cell>
        </row>
        <row r="22">
          <cell r="P22" t="str">
            <v>IBMR</v>
          </cell>
        </row>
        <row r="23">
          <cell r="A23" t="str">
            <v>CHAGYM</v>
          </cell>
          <cell r="B23" t="str">
            <v>Cladophora sp.</v>
          </cell>
          <cell r="C23">
            <v>15</v>
          </cell>
          <cell r="D23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2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3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5"/>
      <c r="I3" s="26"/>
      <c r="J3" s="25"/>
      <c r="K3" s="27" t="s">
        <v>6</v>
      </c>
      <c r="L3" s="28"/>
      <c r="M3" s="29" t="s">
        <v>7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41850</v>
      </c>
      <c r="B4" s="33"/>
      <c r="C4" s="34"/>
      <c r="D4" s="35"/>
      <c r="E4" s="35"/>
      <c r="F4" s="34"/>
      <c r="G4" s="34"/>
      <c r="H4" s="35"/>
      <c r="I4" s="36" t="s">
        <v>8</v>
      </c>
      <c r="J4" s="37"/>
      <c r="K4" s="37"/>
      <c r="L4" s="38"/>
      <c r="M4" s="38"/>
      <c r="N4" s="39" t="s">
        <v>9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10</v>
      </c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14</v>
      </c>
      <c r="M5" s="52"/>
      <c r="N5" s="53" t="s">
        <v>15</v>
      </c>
      <c r="O5" s="54" t="n">
        <v>14.3076923076923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90</v>
      </c>
      <c r="C7" s="66" t="n">
        <v>10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n">
        <f aca="false">IF(ISERROR(AVERAGE(I23:I82)),"     -",AVERAGE(I23:I82))</f>
        <v>13.375</v>
      </c>
      <c r="O8" s="83" t="n">
        <f aca="false">IF(ISERROR(AVERAGE(J23:J82)),"      -",AVERAGE(J23:J82))</f>
        <v>1.75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0.45</v>
      </c>
      <c r="C9" s="86" t="n">
        <v>0.05</v>
      </c>
      <c r="D9" s="87"/>
      <c r="E9" s="87"/>
      <c r="F9" s="88" t="n">
        <f aca="false">($B9*$B$7+$C9*$C$7)/100</f>
        <v>0.41</v>
      </c>
      <c r="G9" s="89"/>
      <c r="H9" s="90"/>
      <c r="I9" s="91"/>
      <c r="J9" s="92"/>
      <c r="K9" s="72"/>
      <c r="L9" s="93"/>
      <c r="M9" s="82" t="s">
        <v>29</v>
      </c>
      <c r="N9" s="83" t="n">
        <f aca="false">IF(ISERROR(STDEVP(I23:I82)),"     -",STDEVP(I23:I82))</f>
        <v>2.23257138743647</v>
      </c>
      <c r="O9" s="83" t="n">
        <f aca="false">IF(ISERROR(STDEVP(J23:J82)),"      -",STDEVP(J23:J82))</f>
        <v>0.661437827766148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10</v>
      </c>
      <c r="O10" s="105" t="n">
        <f aca="false">MIN(J23:J82)</f>
        <v>1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 t="n">
        <v>0</v>
      </c>
      <c r="C11" s="109" t="n">
        <v>0</v>
      </c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16</v>
      </c>
      <c r="O11" s="105" t="n">
        <f aca="false">MAX(J23:J82)</f>
        <v>3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 t="n">
        <f aca="false">2/0.47</f>
        <v>4.25531914893617</v>
      </c>
      <c r="C12" s="118" t="n">
        <v>0</v>
      </c>
      <c r="D12" s="110"/>
      <c r="E12" s="110"/>
      <c r="F12" s="111" t="n">
        <f aca="false">($B12*$B$7+$C12*$C$7)/100</f>
        <v>3.82978723404255</v>
      </c>
      <c r="G12" s="119"/>
      <c r="H12" s="67"/>
      <c r="I12" s="120" t="s">
        <v>37</v>
      </c>
      <c r="J12" s="120"/>
      <c r="K12" s="114" t="n">
        <f aca="false">COUNTIF($G$23:$G$82,"=ALG")</f>
        <v>1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 t="n">
        <f aca="false">29/0.47</f>
        <v>61.7021276595745</v>
      </c>
      <c r="C13" s="118" t="n">
        <f aca="false">1/0.08</f>
        <v>12.5</v>
      </c>
      <c r="D13" s="110"/>
      <c r="E13" s="110"/>
      <c r="F13" s="111" t="n">
        <f aca="false">($B13*$B$7+$C13*$C$7)/100</f>
        <v>56.781914893617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5</v>
      </c>
      <c r="L13" s="115"/>
      <c r="M13" s="126" t="s">
        <v>40</v>
      </c>
      <c r="N13" s="127" t="n">
        <f aca="false">COUNTIF(F23:F82,"&gt;0")</f>
        <v>10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 t="n">
        <v>0</v>
      </c>
      <c r="C14" s="118" t="n">
        <v>0</v>
      </c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8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 t="n">
        <f aca="false">16/0.47</f>
        <v>34.0425531914894</v>
      </c>
      <c r="C15" s="135" t="n">
        <f aca="false">7/0.08</f>
        <v>87.5</v>
      </c>
      <c r="D15" s="110"/>
      <c r="E15" s="110"/>
      <c r="F15" s="111" t="n">
        <f aca="false">($B15*$B$7+$C15*$C$7)/100</f>
        <v>39.3882978723404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4</v>
      </c>
      <c r="L15" s="115"/>
      <c r="M15" s="136" t="s">
        <v>46</v>
      </c>
      <c r="N15" s="137" t="n">
        <f aca="false">COUNTIF(J23:J82,"=1")</f>
        <v>3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 t="n">
        <f aca="false">10/0.47</f>
        <v>21.2765957446808</v>
      </c>
      <c r="C16" s="109" t="n">
        <f aca="false">5/0.08</f>
        <v>62.5</v>
      </c>
      <c r="D16" s="139"/>
      <c r="E16" s="139"/>
      <c r="F16" s="140"/>
      <c r="G16" s="140" t="n">
        <f aca="false">($B16*$B$7+$C16*$C$7)/100</f>
        <v>25.3989361702128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4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 t="n">
        <f aca="false">100-B16-B18</f>
        <v>65.9574468085106</v>
      </c>
      <c r="C17" s="118" t="n">
        <f aca="false">100-C16-C18</f>
        <v>12.5</v>
      </c>
      <c r="D17" s="110"/>
      <c r="E17" s="110"/>
      <c r="F17" s="142"/>
      <c r="G17" s="111" t="n">
        <f aca="false">($B17*$B$7+$C17*$C$7)/100</f>
        <v>60.6117021276596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1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 t="n">
        <f aca="false">6/0.47</f>
        <v>12.7659574468085</v>
      </c>
      <c r="C18" s="145" t="n">
        <f aca="false">2/0.08</f>
        <v>25</v>
      </c>
      <c r="D18" s="110"/>
      <c r="E18" s="146" t="s">
        <v>52</v>
      </c>
      <c r="F18" s="142"/>
      <c r="G18" s="111" t="n">
        <f aca="false">($B18*$B$7+$C18*$C$7)/100</f>
        <v>13.9893617021277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100</v>
      </c>
      <c r="G19" s="155" t="n">
        <f aca="false">SUM(G16:G18)</f>
        <v>100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0.47</v>
      </c>
      <c r="C20" s="165" t="n">
        <f aca="false">SUM(C23:C82)</f>
        <v>0.08</v>
      </c>
      <c r="D20" s="166"/>
      <c r="E20" s="167" t="s">
        <v>52</v>
      </c>
      <c r="F20" s="168" t="n">
        <f aca="false">($B20*$B$7+$C20*$C$7)/100</f>
        <v>0.431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0.423</v>
      </c>
      <c r="C21" s="178" t="n">
        <f aca="false">C20*C7/100</f>
        <v>0.008</v>
      </c>
      <c r="D21" s="110" t="str">
        <f aca="false">IF(F21=0,"",IF((ABS(F21-F19))&gt;(0.2*F21),CONCATENATE(" rec. par taxa (",F21," %) supérieur à 20 % !"),""))</f>
        <v> rec. par taxa (0,431 %) supérieur à 20 % !</v>
      </c>
      <c r="E21" s="179" t="str">
        <f aca="false">IF(F21=0,"",IF((ABS(F21-F19))&gt;(0.2*F21),CONCATENATE("ATTENTION : écart entre rec. par grp (",F19," %) ","et",""),""))</f>
        <v>ATTENTION : écart entre rec. par grp (100 %) et</v>
      </c>
      <c r="F21" s="180" t="n">
        <f aca="false">B21+C21</f>
        <v>0.431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0.02</v>
      </c>
      <c r="C23" s="204"/>
      <c r="D23" s="205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Lemanea sp.</v>
      </c>
      <c r="E23" s="205" t="e">
        <f aca="false">IF(D23="",0,VLOOKUP(D23,D$22:D22,1,0))</f>
        <v>#N/A</v>
      </c>
      <c r="F23" s="206" t="n">
        <f aca="false">($B23*$B$7+$C23*$C$7)/100</f>
        <v>0.018</v>
      </c>
      <c r="G23" s="207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8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09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15</v>
      </c>
      <c r="J23" s="209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0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Lemanea sp.</v>
      </c>
      <c r="L23" s="211"/>
      <c r="M23" s="211"/>
      <c r="N23" s="211"/>
      <c r="O23" s="212"/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1159</v>
      </c>
      <c r="Q23" s="214" t="n">
        <f aca="false">IF(ISTEXT(H23),"",(B23*$B$7/100)+(C23*$C$7/100))</f>
        <v>0.018</v>
      </c>
      <c r="R23" s="215" t="n">
        <f aca="false">IF(OR(ISTEXT(H23),Q23=0),"",IF(Q23&lt;0.1,1,IF(Q23&lt;1,2,IF(Q23&lt;10,3,IF(Q23&lt;50,4,IF(Q23&gt;=50,5,""))))))</f>
        <v>1</v>
      </c>
      <c r="S23" s="215" t="n">
        <f aca="false">IF(ISERROR(R23*I23),0,R23*I23)</f>
        <v>15</v>
      </c>
      <c r="T23" s="215" t="n">
        <f aca="false">IF(ISERROR(R23*I23*J23),0,R23*I23*J23)</f>
        <v>30</v>
      </c>
      <c r="U23" s="215" t="n">
        <f aca="false">IF(ISERROR(R23*J23),0,R23*J23)</f>
        <v>2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IF(A23="new.cod","NEWCOD",IF(AND((Z23=""),ISTEXT(A23)),A23,IF(Z23="","",INDEX('[1]liste reference'!$A$8:$A$904,Z23))))</f>
        <v>LEASPX</v>
      </c>
      <c r="Z23" s="9" t="n">
        <f aca="false">IF(ISERROR(MATCH(A23,'[1]liste reference'!$A$8:$A$904,0)),IF(ISERROR(MATCH(A23,'[1]liste reference'!$B$8:$B$904,0)),"",(MATCH(A23,'[1]liste reference'!$B$8:$B$904,0))),(MATCH(A23,'[1]liste reference'!$A$8:$A$904,0)))</f>
        <v>34</v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0.02</v>
      </c>
      <c r="C24" s="222"/>
      <c r="D24" s="205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Chiloscyphus polyanthos</v>
      </c>
      <c r="E24" s="223" t="e">
        <f aca="false">IF(D24="",0,VLOOKUP(D24,D$22:D23,1,0))</f>
        <v>#N/A</v>
      </c>
      <c r="F24" s="224" t="n">
        <f aca="false">($B24*$B$7+$C24*$C$7)/100</f>
        <v>0.018</v>
      </c>
      <c r="G24" s="207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BRh</v>
      </c>
      <c r="H24" s="208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4</v>
      </c>
      <c r="I24" s="209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15</v>
      </c>
      <c r="J24" s="209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0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Chiloscyphus polyanthos</v>
      </c>
      <c r="L24" s="225"/>
      <c r="M24" s="225"/>
      <c r="N24" s="225"/>
      <c r="O24" s="212"/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1186</v>
      </c>
      <c r="Q24" s="214" t="n">
        <f aca="false">IF(ISTEXT(H24),"",(B24*$B$7/100)+(C24*$C$7/100))</f>
        <v>0.018</v>
      </c>
      <c r="R24" s="215" t="n">
        <f aca="false">IF(OR(ISTEXT(H24),Q24=0),"",IF(Q24&lt;0.1,1,IF(Q24&lt;1,2,IF(Q24&lt;10,3,IF(Q24&lt;50,4,IF(Q24&gt;=50,5,""))))))</f>
        <v>1</v>
      </c>
      <c r="S24" s="215" t="n">
        <f aca="false">IF(ISERROR(R24*I24),0,R24*I24)</f>
        <v>15</v>
      </c>
      <c r="T24" s="215" t="n">
        <f aca="false">IF(ISERROR(R24*I24*J24),0,R24*I24*J24)</f>
        <v>30</v>
      </c>
      <c r="U24" s="226" t="n">
        <f aca="false">IF(ISERROR(R24*J24),0,R24*J24)</f>
        <v>2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IF(A24="new.cod","NEWCOD",IF(AND((Z24=""),ISTEXT(A24)),A24,IF(Z24="","",INDEX('[1]liste reference'!$A$8:$A$904,Z24))))</f>
        <v>CHIPOL</v>
      </c>
      <c r="Z24" s="9" t="n">
        <f aca="false">IF(ISERROR(MATCH(A24,'[1]liste reference'!$A$8:$A$904,0)),IF(ISERROR(MATCH(A24,'[1]liste reference'!$B$8:$B$904,0)),"",(MATCH(A24,'[1]liste reference'!$B$8:$B$904,0))),(MATCH(A24,'[1]liste reference'!$A$8:$A$904,0)))</f>
        <v>97</v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0.02</v>
      </c>
      <c r="C25" s="222"/>
      <c r="D25" s="205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Brachythecium rivulare</v>
      </c>
      <c r="E25" s="223" t="e">
        <f aca="false">IF(D25="",0,VLOOKUP(D25,D$22:D24,1,0))</f>
        <v>#N/A</v>
      </c>
      <c r="F25" s="224" t="n">
        <f aca="false">($B25*$B$7+$C25*$C$7)/100</f>
        <v>0.018</v>
      </c>
      <c r="G25" s="207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BRm</v>
      </c>
      <c r="H25" s="208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5</v>
      </c>
      <c r="I25" s="209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15</v>
      </c>
      <c r="J25" s="209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0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Brachythecium rivulare</v>
      </c>
      <c r="L25" s="225"/>
      <c r="M25" s="225"/>
      <c r="N25" s="225"/>
      <c r="O25" s="212"/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1260</v>
      </c>
      <c r="Q25" s="214" t="n">
        <f aca="false">IF(ISTEXT(H25),"",(B25*$B$7/100)+(C25*$C$7/100))</f>
        <v>0.018</v>
      </c>
      <c r="R25" s="215" t="n">
        <f aca="false">IF(OR(ISTEXT(H25),Q25=0),"",IF(Q25&lt;0.1,1,IF(Q25&lt;1,2,IF(Q25&lt;10,3,IF(Q25&lt;50,4,IF(Q25&gt;=50,5,""))))))</f>
        <v>1</v>
      </c>
      <c r="S25" s="215" t="n">
        <f aca="false">IF(ISERROR(R25*I25),0,R25*I25)</f>
        <v>15</v>
      </c>
      <c r="T25" s="215" t="n">
        <f aca="false">IF(ISERROR(R25*I25*J25),0,R25*I25*J25)</f>
        <v>30</v>
      </c>
      <c r="U25" s="226" t="n">
        <f aca="false">IF(ISERROR(R25*J25),0,R25*J25)</f>
        <v>2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IF(A25="new.cod","NEWCOD",IF(AND((Z25=""),ISTEXT(A25)),A25,IF(Z25="","",INDEX('[1]liste reference'!$A$8:$A$904,Z25))))</f>
        <v>BRARIV</v>
      </c>
      <c r="Z25" s="9" t="n">
        <f aca="false">IF(ISERROR(MATCH(A25,'[1]liste reference'!$A$8:$A$904,0)),IF(ISERROR(MATCH(A25,'[1]liste reference'!$B$8:$B$904,0)),"",(MATCH(A25,'[1]liste reference'!$B$8:$B$904,0))),(MATCH(A25,'[1]liste reference'!$A$8:$A$904,0)))</f>
        <v>155</v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0.05</v>
      </c>
      <c r="C26" s="222"/>
      <c r="D26" s="205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Fontinalis antipyretica</v>
      </c>
      <c r="E26" s="223" t="e">
        <f aca="false">IF(D26="",0,VLOOKUP(D26,D$22:D25,1,0))</f>
        <v>#N/A</v>
      </c>
      <c r="F26" s="224" t="n">
        <f aca="false">($B26*$B$7+$C26*$C$7)/100</f>
        <v>0.045</v>
      </c>
      <c r="G26" s="207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BRm</v>
      </c>
      <c r="H26" s="208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5</v>
      </c>
      <c r="I26" s="209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10</v>
      </c>
      <c r="J26" s="209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0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Fontinalis antipyretica</v>
      </c>
      <c r="L26" s="225"/>
      <c r="M26" s="225"/>
      <c r="N26" s="225"/>
      <c r="O26" s="212"/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1310</v>
      </c>
      <c r="Q26" s="214" t="n">
        <f aca="false">IF(ISTEXT(H26),"",(B26*$B$7/100)+(C26*$C$7/100))</f>
        <v>0.045</v>
      </c>
      <c r="R26" s="215" t="n">
        <f aca="false">IF(OR(ISTEXT(H26),Q26=0),"",IF(Q26&lt;0.1,1,IF(Q26&lt;1,2,IF(Q26&lt;10,3,IF(Q26&lt;50,4,IF(Q26&gt;=50,5,""))))))</f>
        <v>1</v>
      </c>
      <c r="S26" s="215" t="n">
        <f aca="false">IF(ISERROR(R26*I26),0,R26*I26)</f>
        <v>10</v>
      </c>
      <c r="T26" s="215" t="n">
        <f aca="false">IF(ISERROR(R26*I26*J26),0,R26*I26*J26)</f>
        <v>10</v>
      </c>
      <c r="U26" s="226" t="n">
        <f aca="false">IF(ISERROR(R26*J26),0,R26*J26)</f>
        <v>1</v>
      </c>
      <c r="V26" s="216" t="str">
        <f aca="false">IF(AND(A26="",F26=0),"",IF(F26=0,"Il manque le(s) % de rec. !",""))</f>
        <v/>
      </c>
      <c r="W26" s="217"/>
      <c r="X26" s="217"/>
      <c r="Y26" s="215" t="str">
        <f aca="false">IF(A26="new.cod","NEWCOD",IF(AND((Z26=""),ISTEXT(A26)),A26,IF(Z26="","",INDEX('[1]liste reference'!$A$8:$A$904,Z26))))</f>
        <v>FONANT</v>
      </c>
      <c r="Z26" s="9" t="n">
        <f aca="false">IF(ISERROR(MATCH(A26,'[1]liste reference'!$A$8:$A$904,0)),IF(ISERROR(MATCH(A26,'[1]liste reference'!$B$8:$B$904,0)),"",(MATCH(A26,'[1]liste reference'!$B$8:$B$904,0))),(MATCH(A26,'[1]liste reference'!$A$8:$A$904,0)))</f>
        <v>210</v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0.05</v>
      </c>
      <c r="C27" s="222" t="n">
        <v>0.01</v>
      </c>
      <c r="D27" s="205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Fontinalis squamosa</v>
      </c>
      <c r="E27" s="223" t="e">
        <f aca="false">IF(D27="",0,VLOOKUP(D27,D$22:D26,1,0))</f>
        <v>#N/A</v>
      </c>
      <c r="F27" s="224" t="n">
        <f aca="false">($B27*$B$7+$C27*$C$7)/100</f>
        <v>0.046</v>
      </c>
      <c r="G27" s="207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BRm</v>
      </c>
      <c r="H27" s="208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5</v>
      </c>
      <c r="I27" s="209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16</v>
      </c>
      <c r="J27" s="209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3</v>
      </c>
      <c r="K27" s="210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Fontinalis squamosa</v>
      </c>
      <c r="L27" s="225"/>
      <c r="M27" s="225"/>
      <c r="N27" s="225"/>
      <c r="O27" s="212"/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1312</v>
      </c>
      <c r="Q27" s="214" t="n">
        <f aca="false">IF(ISTEXT(H27),"",(B27*$B$7/100)+(C27*$C$7/100))</f>
        <v>0.046</v>
      </c>
      <c r="R27" s="215" t="n">
        <f aca="false">IF(OR(ISTEXT(H27),Q27=0),"",IF(Q27&lt;0.1,1,IF(Q27&lt;1,2,IF(Q27&lt;10,3,IF(Q27&lt;50,4,IF(Q27&gt;=50,5,""))))))</f>
        <v>1</v>
      </c>
      <c r="S27" s="215" t="n">
        <f aca="false">IF(ISERROR(R27*I27),0,R27*I27)</f>
        <v>16</v>
      </c>
      <c r="T27" s="215" t="n">
        <f aca="false">IF(ISERROR(R27*I27*J27),0,R27*I27*J27)</f>
        <v>48</v>
      </c>
      <c r="U27" s="226" t="n">
        <f aca="false">IF(ISERROR(R27*J27),0,R27*J27)</f>
        <v>3</v>
      </c>
      <c r="V27" s="216" t="str">
        <f aca="false">IF(AND(A27="",F27=0),"",IF(F27=0,"Il manque le(s) % de rec. !",""))</f>
        <v/>
      </c>
      <c r="W27" s="217"/>
      <c r="Y27" s="215" t="str">
        <f aca="false">IF(A27="new.cod","NEWCOD",IF(AND((Z27=""),ISTEXT(A27)),A27,IF(Z27="","",INDEX('[1]liste reference'!$A$8:$A$904,Z27))))</f>
        <v>FONSQU</v>
      </c>
      <c r="Z27" s="9" t="n">
        <f aca="false">IF(ISERROR(MATCH(A27,'[1]liste reference'!$A$8:$A$904,0)),IF(ISERROR(MATCH(A27,'[1]liste reference'!$B$8:$B$904,0)),"",(MATCH(A27,'[1]liste reference'!$B$8:$B$904,0))),(MATCH(A27,'[1]liste reference'!$A$8:$A$904,0)))</f>
        <v>214</v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15</v>
      </c>
      <c r="B28" s="221" t="n">
        <v>0.15</v>
      </c>
      <c r="C28" s="222"/>
      <c r="D28" s="205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Rhynchostegium riparioides</v>
      </c>
      <c r="E28" s="223" t="e">
        <f aca="false">IF(D28="",0,VLOOKUP(D28,D$22:D27,1,0))</f>
        <v>#N/A</v>
      </c>
      <c r="F28" s="224" t="n">
        <f aca="false">($B28*$B$7+$C28*$C$7)/100</f>
        <v>0.135</v>
      </c>
      <c r="G28" s="207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08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09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12</v>
      </c>
      <c r="J28" s="209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1</v>
      </c>
      <c r="K28" s="210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Rhynchostegium riparioides</v>
      </c>
      <c r="L28" s="225"/>
      <c r="M28" s="225"/>
      <c r="N28" s="225"/>
      <c r="O28" s="212"/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1268</v>
      </c>
      <c r="Q28" s="214" t="n">
        <f aca="false">IF(ISTEXT(H28),"",(B28*$B$7/100)+(C28*$C$7/100))</f>
        <v>0.135</v>
      </c>
      <c r="R28" s="215" t="n">
        <f aca="false">IF(OR(ISTEXT(H28),Q28=0),"",IF(Q28&lt;0.1,1,IF(Q28&lt;1,2,IF(Q28&lt;10,3,IF(Q28&lt;50,4,IF(Q28&gt;=50,5,""))))))</f>
        <v>2</v>
      </c>
      <c r="S28" s="215" t="n">
        <f aca="false">IF(ISERROR(R28*I28),0,R28*I28)</f>
        <v>24</v>
      </c>
      <c r="T28" s="215" t="n">
        <f aca="false">IF(ISERROR(R28*I28*J28),0,R28*I28*J28)</f>
        <v>24</v>
      </c>
      <c r="U28" s="226" t="n">
        <f aca="false">IF(ISERROR(R28*J28),0,R28*J28)</f>
        <v>2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IF(A28="new.cod","NEWCOD",IF(AND((Z28=""),ISTEXT(A28)),A28,IF(Z28="","",INDEX('[1]liste reference'!$A$8:$A$904,Z28))))</f>
        <v>RHYRIP</v>
      </c>
      <c r="Z28" s="9" t="n">
        <f aca="false">IF(ISERROR(MATCH(A28,'[1]liste reference'!$A$8:$A$904,0)),IF(ISERROR(MATCH(A28,'[1]liste reference'!$B$8:$B$904,0)),"",(MATCH(A28,'[1]liste reference'!$B$8:$B$904,0))),(MATCH(A28,'[1]liste reference'!$A$8:$A$904,0)))</f>
        <v>252</v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83</v>
      </c>
      <c r="B29" s="221" t="n">
        <v>0.01</v>
      </c>
      <c r="C29" s="222"/>
      <c r="D29" s="205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Agrostis stolonifera</v>
      </c>
      <c r="E29" s="223" t="e">
        <f aca="false">IF(D29="",0,VLOOKUP(D29,D$22:D28,1,0))</f>
        <v>#N/A</v>
      </c>
      <c r="F29" s="224" t="n">
        <f aca="false">($B29*$B$7+$C29*$C$7)/100</f>
        <v>0.009</v>
      </c>
      <c r="G29" s="207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PHe</v>
      </c>
      <c r="H29" s="208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8</v>
      </c>
      <c r="I29" s="209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10</v>
      </c>
      <c r="J29" s="209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1</v>
      </c>
      <c r="K29" s="210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Agrostis stolonifera</v>
      </c>
      <c r="L29" s="225"/>
      <c r="M29" s="225"/>
      <c r="N29" s="225"/>
      <c r="O29" s="212"/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1543</v>
      </c>
      <c r="Q29" s="214" t="n">
        <f aca="false">IF(ISTEXT(H29),"",(B29*$B$7/100)+(C29*$C$7/100))</f>
        <v>0.009</v>
      </c>
      <c r="R29" s="215" t="n">
        <f aca="false">IF(OR(ISTEXT(H29),Q29=0),"",IF(Q29&lt;0.1,1,IF(Q29&lt;1,2,IF(Q29&lt;10,3,IF(Q29&lt;50,4,IF(Q29&gt;=50,5,""))))))</f>
        <v>1</v>
      </c>
      <c r="S29" s="215" t="n">
        <f aca="false">IF(ISERROR(R29*I29),0,R29*I29)</f>
        <v>10</v>
      </c>
      <c r="T29" s="215" t="n">
        <f aca="false">IF(ISERROR(R29*I29*J29),0,R29*I29*J29)</f>
        <v>10</v>
      </c>
      <c r="U29" s="226" t="n">
        <f aca="false">IF(ISERROR(R29*J29),0,R29*J29)</f>
        <v>1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IF(A29="new.cod","NEWCOD",IF(AND((Z29=""),ISTEXT(A29)),A29,IF(Z29="","",INDEX('[1]liste reference'!$A$8:$A$904,Z29))))</f>
        <v>AGRSTO</v>
      </c>
      <c r="Z29" s="9" t="n">
        <f aca="false">IF(ISERROR(MATCH(A29,'[1]liste reference'!$A$8:$A$904,0)),IF(ISERROR(MATCH(A29,'[1]liste reference'!$B$8:$B$904,0)),"",(MATCH(A29,'[1]liste reference'!$B$8:$B$904,0))),(MATCH(A29,'[1]liste reference'!$A$8:$A$904,0)))</f>
        <v>514</v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84</v>
      </c>
      <c r="B30" s="221" t="n">
        <v>0.1</v>
      </c>
      <c r="C30" s="222" t="n">
        <v>0.05</v>
      </c>
      <c r="D30" s="205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Glyceria fluitans</v>
      </c>
      <c r="E30" s="223" t="e">
        <f aca="false">IF(D30="",0,VLOOKUP(D30,D$22:D29,1,0))</f>
        <v>#N/A</v>
      </c>
      <c r="F30" s="224" t="n">
        <f aca="false">($B30*$B$7+$C30*$C$7)/100</f>
        <v>0.095</v>
      </c>
      <c r="G30" s="207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PHe</v>
      </c>
      <c r="H30" s="208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8</v>
      </c>
      <c r="I30" s="209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14</v>
      </c>
      <c r="J30" s="209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2</v>
      </c>
      <c r="K30" s="210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Glyceria fluitans</v>
      </c>
      <c r="L30" s="225"/>
      <c r="M30" s="225"/>
      <c r="N30" s="225"/>
      <c r="O30" s="212"/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1564</v>
      </c>
      <c r="Q30" s="214" t="n">
        <f aca="false">IF(ISTEXT(H30),"",(B30*$B$7/100)+(C30*$C$7/100))</f>
        <v>0.095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14</v>
      </c>
      <c r="T30" s="215" t="n">
        <f aca="false">IF(ISERROR(R30*I30*J30),0,R30*I30*J30)</f>
        <v>28</v>
      </c>
      <c r="U30" s="226" t="n">
        <f aca="false">IF(ISERROR(R30*J30),0,R30*J30)</f>
        <v>2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IF(A30="new.cod","NEWCOD",IF(AND((Z30=""),ISTEXT(A30)),A30,IF(Z30="","",INDEX('[1]liste reference'!$A$8:$A$904,Z30))))</f>
        <v>GLYFLU</v>
      </c>
      <c r="Z30" s="9" t="n">
        <f aca="false">IF(ISERROR(MATCH(A30,'[1]liste reference'!$A$8:$A$904,0)),IF(ISERROR(MATCH(A30,'[1]liste reference'!$B$8:$B$904,0)),"",(MATCH(A30,'[1]liste reference'!$B$8:$B$904,0))),(MATCH(A30,'[1]liste reference'!$A$8:$A$904,0)))</f>
        <v>575</v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85</v>
      </c>
      <c r="B31" s="221" t="n">
        <v>0.05</v>
      </c>
      <c r="C31" s="222" t="n">
        <v>0.01</v>
      </c>
      <c r="D31" s="205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Mentha longifolia</v>
      </c>
      <c r="E31" s="223" t="e">
        <f aca="false">IF(D31="",0,VLOOKUP(D31,D$22:D30,1,0))</f>
        <v>#N/A</v>
      </c>
      <c r="F31" s="224" t="n">
        <f aca="false">($B31*$B$7+$C31*$C$7)/100</f>
        <v>0.046</v>
      </c>
      <c r="G31" s="207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PHe</v>
      </c>
      <c r="H31" s="208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8</v>
      </c>
      <c r="I31" s="209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09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0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Mentha longifolia</v>
      </c>
      <c r="L31" s="225"/>
      <c r="M31" s="225"/>
      <c r="N31" s="225"/>
      <c r="O31" s="212"/>
      <c r="P31" s="213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19856</v>
      </c>
      <c r="Q31" s="214" t="n">
        <f aca="false">IF(ISTEXT(H31),"",(B31*$B$7/100)+(C31*$C$7/100))</f>
        <v>0.046</v>
      </c>
      <c r="R31" s="215" t="n">
        <f aca="false">IF(OR(ISTEXT(H31),Q31=0),"",IF(Q31&lt;0.1,1,IF(Q31&lt;1,2,IF(Q31&lt;10,3,IF(Q31&lt;50,4,IF(Q31&gt;=50,5,""))))))</f>
        <v>1</v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IF(A31="new.cod","NEWCOD",IF(AND((Z31=""),ISTEXT(A31)),A31,IF(Z31="","",INDEX('[1]liste reference'!$A$8:$A$904,Z31))))</f>
        <v>MENLON</v>
      </c>
      <c r="Z31" s="9" t="n">
        <f aca="false">IF(ISERROR(MATCH(A31,'[1]liste reference'!$A$8:$A$904,0)),IF(ISERROR(MATCH(A31,'[1]liste reference'!$B$8:$B$904,0)),"",(MATCH(A31,'[1]liste reference'!$B$8:$B$904,0))),(MATCH(A31,'[1]liste reference'!$A$8:$A$904,0)))</f>
        <v>609</v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86</v>
      </c>
      <c r="B32" s="221"/>
      <c r="C32" s="222" t="n">
        <v>0.01</v>
      </c>
      <c r="D32" s="205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>Ranunculus repens</v>
      </c>
      <c r="E32" s="223" t="e">
        <f aca="false">IF(D32="",0,VLOOKUP(D32,D$22:D31,1,0))</f>
        <v>#N/A</v>
      </c>
      <c r="F32" s="224" t="n">
        <f aca="false">($B32*$B$7+$C32*$C$7)/100</f>
        <v>0.001</v>
      </c>
      <c r="G32" s="207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>PHg</v>
      </c>
      <c r="H32" s="208" t="n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9</v>
      </c>
      <c r="I32" s="209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09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0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>Ranunculus repens</v>
      </c>
      <c r="L32" s="225"/>
      <c r="M32" s="225"/>
      <c r="N32" s="225"/>
      <c r="O32" s="212"/>
      <c r="P32" s="213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1910</v>
      </c>
      <c r="Q32" s="214" t="n">
        <f aca="false">IF(ISTEXT(H32),"",(B32*$B$7/100)+(C32*$C$7/100))</f>
        <v>0.001</v>
      </c>
      <c r="R32" s="215" t="n">
        <f aca="false">IF(OR(ISTEXT(H32),Q32=0),"",IF(Q32&lt;0.1,1,IF(Q32&lt;1,2,IF(Q32&lt;10,3,IF(Q32&lt;50,4,IF(Q32&gt;=50,5,""))))))</f>
        <v>1</v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27"/>
      <c r="Y32" s="215" t="str">
        <f aca="false">IF(A32="new.cod","NEWCOD",IF(AND((Z32=""),ISTEXT(A32)),A32,IF(Z32="","",INDEX('[1]liste reference'!$A$8:$A$904,Z32))))</f>
        <v>RANREP</v>
      </c>
      <c r="Z32" s="9" t="n">
        <f aca="false">IF(ISERROR(MATCH(A32,'[1]liste reference'!$A$8:$A$904,0)),IF(ISERROR(MATCH(A32,'[1]liste reference'!$B$8:$B$904,0)),"",(MATCH(A32,'[1]liste reference'!$B$8:$B$904,0))),(MATCH(A32,'[1]liste reference'!$A$8:$A$904,0)))</f>
        <v>803</v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7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08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09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09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0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5"/>
      <c r="M33" s="225"/>
      <c r="N33" s="225"/>
      <c r="O33" s="212"/>
      <c r="P33" s="213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IF(A33="new.cod","NEWCOD",IF(AND((Z33=""),ISTEXT(A33)),A33,IF(Z33="","",INDEX('[1]liste reference'!$A$8:$A$904,Z33))))</f>
        <v/>
      </c>
      <c r="Z33" s="9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7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8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09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09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0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5"/>
      <c r="M34" s="225"/>
      <c r="N34" s="225"/>
      <c r="O34" s="212"/>
      <c r="P34" s="213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IF(A34="new.cod","NEWCOD",IF(AND((Z34=""),ISTEXT(A34)),A34,IF(Z34="","",INDEX('[1]liste reference'!$A$8:$A$904,Z34))))</f>
        <v/>
      </c>
      <c r="Z34" s="9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7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8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09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09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0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5"/>
      <c r="M35" s="225"/>
      <c r="N35" s="225"/>
      <c r="O35" s="212"/>
      <c r="P35" s="213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IF(A35="new.cod","NEWCOD",IF(AND((Z35=""),ISTEXT(A35)),A35,IF(Z35="","",INDEX('[1]liste reference'!$A$8:$A$904,Z35))))</f>
        <v/>
      </c>
      <c r="Z35" s="9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7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8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09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09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0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5"/>
      <c r="M36" s="225"/>
      <c r="N36" s="225"/>
      <c r="O36" s="212"/>
      <c r="P36" s="213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IF(A36="new.cod","NEWCOD",IF(AND((Z36=""),ISTEXT(A36)),A36,IF(Z36="","",INDEX('[1]liste reference'!$A$8:$A$904,Z36))))</f>
        <v/>
      </c>
      <c r="Z36" s="9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7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8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09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09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0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5"/>
      <c r="M37" s="225"/>
      <c r="N37" s="225"/>
      <c r="O37" s="212"/>
      <c r="P37" s="213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IF(A37="new.cod","NEWCOD",IF(AND((Z37=""),ISTEXT(A37)),A37,IF(Z37="","",INDEX('[1]liste reference'!$A$8:$A$904,Z37))))</f>
        <v/>
      </c>
      <c r="Z37" s="9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7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8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09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09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0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5"/>
      <c r="M38" s="225"/>
      <c r="N38" s="225"/>
      <c r="O38" s="212"/>
      <c r="P38" s="213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IF(A38="new.cod","NEWCOD",IF(AND((Z38=""),ISTEXT(A38)),A38,IF(Z38="","",INDEX('[1]liste reference'!$A$8:$A$904,Z38))))</f>
        <v/>
      </c>
      <c r="Z38" s="9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7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8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09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09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0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5"/>
      <c r="M39" s="225"/>
      <c r="N39" s="225"/>
      <c r="O39" s="212"/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IF(A39="new.cod","NEWCOD",IF(AND((Z39=""),ISTEXT(A39)),A39,IF(Z39="","",INDEX('[1]liste reference'!$A$8:$A$904,Z39))))</f>
        <v/>
      </c>
      <c r="Z39" s="9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7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8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09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09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0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5"/>
      <c r="M40" s="225"/>
      <c r="N40" s="225"/>
      <c r="O40" s="212"/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IF(A40="new.cod","NEWCOD",IF(AND((Z40=""),ISTEXT(A40)),A40,IF(Z40="","",INDEX('[1]liste reference'!$A$8:$A$904,Z40))))</f>
        <v/>
      </c>
      <c r="Z40" s="9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7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8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09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09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0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5"/>
      <c r="M41" s="225"/>
      <c r="N41" s="225"/>
      <c r="O41" s="212"/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IF(A41="new.cod","NEWCOD",IF(AND((Z41=""),ISTEXT(A41)),A41,IF(Z41="","",INDEX('[1]liste reference'!$A$8:$A$904,Z41))))</f>
        <v/>
      </c>
      <c r="Z41" s="9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7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8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09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09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0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5"/>
      <c r="M42" s="225"/>
      <c r="N42" s="225"/>
      <c r="O42" s="212"/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IF(A42="new.cod","NEWCOD",IF(AND((Z42=""),ISTEXT(A42)),A42,IF(Z42="","",INDEX('[1]liste reference'!$A$8:$A$904,Z42))))</f>
        <v/>
      </c>
      <c r="Z42" s="9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7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8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09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09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0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5"/>
      <c r="M43" s="225"/>
      <c r="N43" s="225"/>
      <c r="O43" s="212"/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IF(A43="new.cod","NEWCOD",IF(AND((Z43=""),ISTEXT(A43)),A43,IF(Z43="","",INDEX('[1]liste reference'!$A$8:$A$904,Z43))))</f>
        <v/>
      </c>
      <c r="Z43" s="9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7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8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09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09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0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5"/>
      <c r="M44" s="225"/>
      <c r="N44" s="225"/>
      <c r="O44" s="212"/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IF(A44="new.cod","NEWCOD",IF(AND((Z44=""),ISTEXT(A44)),A44,IF(Z44="","",INDEX('[1]liste reference'!$A$8:$A$904,Z44))))</f>
        <v/>
      </c>
      <c r="Z44" s="9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7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8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09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09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0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5"/>
      <c r="M45" s="225"/>
      <c r="N45" s="225"/>
      <c r="O45" s="212"/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IF(A45="new.cod","NEWCOD",IF(AND((Z45=""),ISTEXT(A45)),A45,IF(Z45="","",INDEX('[1]liste reference'!$A$8:$A$904,Z45))))</f>
        <v/>
      </c>
      <c r="Z45" s="9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7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8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09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09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0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5"/>
      <c r="M46" s="225"/>
      <c r="N46" s="225"/>
      <c r="O46" s="212"/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IF(A46="new.cod","NEWCOD",IF(AND((Z46=""),ISTEXT(A46)),A46,IF(Z46="","",INDEX('[1]liste reference'!$A$8:$A$904,Z46))))</f>
        <v/>
      </c>
      <c r="Z46" s="9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7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8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09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09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0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5"/>
      <c r="M47" s="225"/>
      <c r="N47" s="225"/>
      <c r="O47" s="212"/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IF(A47="new.cod","NEWCOD",IF(AND((Z47=""),ISTEXT(A47)),A47,IF(Z47="","",INDEX('[1]liste reference'!$A$8:$A$904,Z47))))</f>
        <v/>
      </c>
      <c r="Z47" s="9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7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8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09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09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0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5"/>
      <c r="M48" s="225"/>
      <c r="N48" s="225"/>
      <c r="O48" s="212"/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IF(A48="new.cod","NEWCOD",IF(AND((Z48=""),ISTEXT(A48)),A48,IF(Z48="","",INDEX('[1]liste reference'!$A$8:$A$904,Z48))))</f>
        <v/>
      </c>
      <c r="Z48" s="9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7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8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09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09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0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5"/>
      <c r="M49" s="225"/>
      <c r="N49" s="225"/>
      <c r="O49" s="212"/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IF(A49="new.cod","NEWCOD",IF(AND((Z49=""),ISTEXT(A49)),A49,IF(Z49="","",INDEX('[1]liste reference'!$A$8:$A$904,Z49))))</f>
        <v/>
      </c>
      <c r="Z49" s="9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7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8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09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09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0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5"/>
      <c r="M50" s="225"/>
      <c r="N50" s="225"/>
      <c r="O50" s="212"/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IF(A50="new.cod","NEWCOD",IF(AND((Z50=""),ISTEXT(A50)),A50,IF(Z50="","",INDEX('[1]liste reference'!$A$8:$A$904,Z50))))</f>
        <v/>
      </c>
      <c r="Z50" s="9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7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8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09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09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0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5"/>
      <c r="M51" s="225"/>
      <c r="N51" s="225"/>
      <c r="O51" s="212"/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IF(A51="new.cod","NEWCOD",IF(AND((Z51=""),ISTEXT(A51)),A51,IF(Z51="","",INDEX('[1]liste reference'!$A$8:$A$904,Z51))))</f>
        <v/>
      </c>
      <c r="Z51" s="9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7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8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09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09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0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5"/>
      <c r="M52" s="225"/>
      <c r="N52" s="225"/>
      <c r="O52" s="212"/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IF(A52="new.cod","NEWCOD",IF(AND((Z52=""),ISTEXT(A52)),A52,IF(Z52="","",INDEX('[1]liste reference'!$A$8:$A$904,Z52))))</f>
        <v/>
      </c>
      <c r="Z52" s="9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7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8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09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09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0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5"/>
      <c r="M53" s="225"/>
      <c r="N53" s="225"/>
      <c r="O53" s="212"/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IF(A53="new.cod","NEWCOD",IF(AND((Z53=""),ISTEXT(A53)),A53,IF(Z53="","",INDEX('[1]liste reference'!$A$8:$A$904,Z53))))</f>
        <v/>
      </c>
      <c r="Z53" s="9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7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8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09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09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0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5"/>
      <c r="M54" s="225"/>
      <c r="N54" s="225"/>
      <c r="O54" s="212"/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IF(A54="new.cod","NEWCOD",IF(AND((Z54=""),ISTEXT(A54)),A54,IF(Z54="","",INDEX('[1]liste reference'!$A$8:$A$904,Z54))))</f>
        <v/>
      </c>
      <c r="Z54" s="9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7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8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09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09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0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5"/>
      <c r="M55" s="225"/>
      <c r="N55" s="225"/>
      <c r="O55" s="212"/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IF(A55="new.cod","NEWCOD",IF(AND((Z55=""),ISTEXT(A55)),A55,IF(Z55="","",INDEX('[1]liste reference'!$A$8:$A$904,Z55))))</f>
        <v/>
      </c>
      <c r="Z55" s="9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7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8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09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09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0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5"/>
      <c r="M56" s="225"/>
      <c r="N56" s="225"/>
      <c r="O56" s="212"/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IF(A56="new.cod","NEWCOD",IF(AND((Z56=""),ISTEXT(A56)),A56,IF(Z56="","",INDEX('[1]liste reference'!$A$8:$A$904,Z56))))</f>
        <v/>
      </c>
      <c r="Z56" s="9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7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8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09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09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0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5"/>
      <c r="M57" s="225"/>
      <c r="N57" s="225"/>
      <c r="O57" s="212"/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IF(A57="new.cod","NEWCOD",IF(AND((Z57=""),ISTEXT(A57)),A57,IF(Z57="","",INDEX('[1]liste reference'!$A$8:$A$904,Z57))))</f>
        <v/>
      </c>
      <c r="Z57" s="9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7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8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09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09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0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5"/>
      <c r="M58" s="225"/>
      <c r="N58" s="225"/>
      <c r="O58" s="212"/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IF(A58="new.cod","NEWCOD",IF(AND((Z58=""),ISTEXT(A58)),A58,IF(Z58="","",INDEX('[1]liste reference'!$A$8:$A$904,Z58))))</f>
        <v/>
      </c>
      <c r="Z58" s="9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7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8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09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09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0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0"/>
      <c r="M59" s="230"/>
      <c r="N59" s="230"/>
      <c r="O59" s="212"/>
      <c r="P59" s="231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IF(A59="new.cod","NEWCOD",IF(AND((Z59=""),ISTEXT(A59)),A59,IF(Z59="","",INDEX('[1]liste reference'!$A$8:$A$904,Z59))))</f>
        <v/>
      </c>
      <c r="Z59" s="9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7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8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09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09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0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0"/>
      <c r="M60" s="230"/>
      <c r="N60" s="230"/>
      <c r="O60" s="212"/>
      <c r="P60" s="231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IF(A60="new.cod","NEWCOD",IF(AND((Z60=""),ISTEXT(A60)),A60,IF(Z60="","",INDEX('[1]liste reference'!$A$8:$A$904,Z60))))</f>
        <v/>
      </c>
      <c r="Z60" s="9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7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8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09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09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0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5"/>
      <c r="M61" s="225"/>
      <c r="N61" s="225"/>
      <c r="O61" s="212"/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IF(A61="new.cod","NEWCOD",IF(AND((Z61=""),ISTEXT(A61)),A61,IF(Z61="","",INDEX('[1]liste reference'!$A$8:$A$904,Z61))))</f>
        <v/>
      </c>
      <c r="Z61" s="9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7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8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09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09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0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5"/>
      <c r="M62" s="225"/>
      <c r="N62" s="225"/>
      <c r="O62" s="212"/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IF(A62="new.cod","NEWCOD",IF(AND((Z62=""),ISTEXT(A62)),A62,IF(Z62="","",INDEX('[1]liste reference'!$A$8:$A$904,Z62))))</f>
        <v/>
      </c>
      <c r="Z62" s="9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3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09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09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0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5"/>
      <c r="M63" s="225"/>
      <c r="N63" s="225"/>
      <c r="O63" s="212"/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IF(A63="new.cod","NEWCOD",IF(AND((Z63=""),ISTEXT(A63)),A63,IF(Z63="","",INDEX('[1]liste reference'!$A$8:$A$904,Z63))))</f>
        <v/>
      </c>
      <c r="Z63" s="9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5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09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09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0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5"/>
      <c r="M64" s="225"/>
      <c r="N64" s="225"/>
      <c r="O64" s="212"/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IF(A64="new.cod","NEWCOD",IF(AND((Z64=""),ISTEXT(A64)),A64,IF(Z64="","",INDEX('[1]liste reference'!$A$8:$A$904,Z64))))</f>
        <v/>
      </c>
      <c r="Z64" s="9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5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09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09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0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5"/>
      <c r="M65" s="225"/>
      <c r="N65" s="225"/>
      <c r="O65" s="212"/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IF(A65="new.cod","NEWCOD",IF(AND((Z65=""),ISTEXT(A65)),A65,IF(Z65="","",INDEX('[1]liste reference'!$A$8:$A$904,Z65))))</f>
        <v/>
      </c>
      <c r="Z65" s="9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5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09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09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0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5"/>
      <c r="M66" s="225"/>
      <c r="N66" s="225"/>
      <c r="O66" s="212"/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IF(A66="new.cod","NEWCOD",IF(AND((Z66=""),ISTEXT(A66)),A66,IF(Z66="","",INDEX('[1]liste reference'!$A$8:$A$904,Z66))))</f>
        <v/>
      </c>
      <c r="Z66" s="9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5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09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09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0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5"/>
      <c r="M67" s="225"/>
      <c r="N67" s="225"/>
      <c r="O67" s="212"/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IF(A67="new.cod","NEWCOD",IF(AND((Z67=""),ISTEXT(A67)),A67,IF(Z67="","",INDEX('[1]liste reference'!$A$8:$A$904,Z67))))</f>
        <v/>
      </c>
      <c r="Z67" s="9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5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09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09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0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5"/>
      <c r="M68" s="225"/>
      <c r="N68" s="225"/>
      <c r="O68" s="212"/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IF(A68="new.cod","NEWCOD",IF(AND((Z68=""),ISTEXT(A68)),A68,IF(Z68="","",INDEX('[1]liste reference'!$A$8:$A$904,Z68))))</f>
        <v/>
      </c>
      <c r="Z68" s="9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5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09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09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0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5"/>
      <c r="M69" s="225"/>
      <c r="N69" s="225"/>
      <c r="O69" s="212"/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IF(A69="new.cod","NEWCOD",IF(AND((Z69=""),ISTEXT(A69)),A69,IF(Z69="","",INDEX('[1]liste reference'!$A$8:$A$904,Z69))))</f>
        <v/>
      </c>
      <c r="Z69" s="9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5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09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09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0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5"/>
      <c r="M70" s="225"/>
      <c r="N70" s="225"/>
      <c r="O70" s="212"/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IF(A70="new.cod","NEWCOD",IF(AND((Z70=""),ISTEXT(A70)),A70,IF(Z70="","",INDEX('[1]liste reference'!$A$8:$A$904,Z70))))</f>
        <v/>
      </c>
      <c r="Z70" s="9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5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09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09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0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5"/>
      <c r="M71" s="225"/>
      <c r="N71" s="225"/>
      <c r="O71" s="212"/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IF(A71="new.cod","NEWCOD",IF(AND((Z71=""),ISTEXT(A71)),A71,IF(Z71="","",INDEX('[1]liste reference'!$A$8:$A$904,Z71))))</f>
        <v/>
      </c>
      <c r="Z71" s="9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5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09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09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0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5"/>
      <c r="M72" s="225"/>
      <c r="N72" s="225"/>
      <c r="O72" s="212"/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IF(A72="new.cod","NEWCOD",IF(AND((Z72=""),ISTEXT(A72)),A72,IF(Z72="","",INDEX('[1]liste reference'!$A$8:$A$904,Z72))))</f>
        <v/>
      </c>
      <c r="Z72" s="9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5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09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09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0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5"/>
      <c r="M73" s="225"/>
      <c r="N73" s="225"/>
      <c r="O73" s="212"/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IF(A73="new.cod","NEWCOD",IF(AND((Z73=""),ISTEXT(A73)),A73,IF(Z73="","",INDEX('[1]liste reference'!$A$8:$A$904,Z73))))</f>
        <v/>
      </c>
      <c r="Z73" s="9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5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09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09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0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5"/>
      <c r="M74" s="225"/>
      <c r="N74" s="225"/>
      <c r="O74" s="212"/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IF(A74="new.cod","NEWCOD",IF(AND((Z74=""),ISTEXT(A74)),A74,IF(Z74="","",INDEX('[1]liste reference'!$A$8:$A$904,Z74))))</f>
        <v/>
      </c>
      <c r="Z74" s="9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5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09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09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0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5"/>
      <c r="M75" s="225"/>
      <c r="N75" s="225"/>
      <c r="O75" s="212"/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IF(A75="new.cod","NEWCOD",IF(AND((Z75=""),ISTEXT(A75)),A75,IF(Z75="","",INDEX('[1]liste reference'!$A$8:$A$904,Z75))))</f>
        <v/>
      </c>
      <c r="Z75" s="9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5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09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09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0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5"/>
      <c r="M76" s="225"/>
      <c r="N76" s="225"/>
      <c r="O76" s="212"/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IF(A76="new.cod","NEWCOD",IF(AND((Z76=""),ISTEXT(A76)),A76,IF(Z76="","",INDEX('[1]liste reference'!$A$8:$A$904,Z76))))</f>
        <v/>
      </c>
      <c r="Z76" s="9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5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09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09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0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5"/>
      <c r="M77" s="225"/>
      <c r="N77" s="225"/>
      <c r="O77" s="212"/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IF(A77="new.cod","NEWCOD",IF(AND((Z77=""),ISTEXT(A77)),A77,IF(Z77="","",INDEX('[1]liste reference'!$A$8:$A$904,Z77))))</f>
        <v/>
      </c>
      <c r="Z77" s="9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5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09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09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0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5"/>
      <c r="M78" s="225"/>
      <c r="N78" s="225"/>
      <c r="O78" s="212"/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IF(A78="new.cod","NEWCOD",IF(AND((Z78=""),ISTEXT(A78)),A78,IF(Z78="","",INDEX('[1]liste reference'!$A$8:$A$904,Z78))))</f>
        <v/>
      </c>
      <c r="Z78" s="9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5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09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09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0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5"/>
      <c r="M79" s="225"/>
      <c r="N79" s="225"/>
      <c r="O79" s="212"/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IF(A79="new.cod","NEWCOD",IF(AND((Z79=""),ISTEXT(A79)),A79,IF(Z79="","",INDEX('[1]liste reference'!$A$8:$A$904,Z79))))</f>
        <v/>
      </c>
      <c r="Z79" s="9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5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09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09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0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5"/>
      <c r="M80" s="225"/>
      <c r="N80" s="225"/>
      <c r="O80" s="212"/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IF(A80="new.cod","NEWCOD",IF(AND((Z80=""),ISTEXT(A80)),A80,IF(Z80="","",INDEX('[1]liste reference'!$A$8:$A$904,Z80))))</f>
        <v/>
      </c>
      <c r="Z80" s="9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5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09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09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0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0"/>
      <c r="M81" s="230"/>
      <c r="N81" s="230"/>
      <c r="O81" s="212"/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IF(A81="new.cod","NEWCOD",IF(AND((Z81=""),ISTEXT(A81)),A81,IF(Z81="","",INDEX('[1]liste reference'!$A$8:$A$904,Z81))))</f>
        <v/>
      </c>
      <c r="Z81" s="9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4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09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09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5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IF(A82="new.cod","NEWCOD",IF(AND((Z82=""),ISTEXT(A82)),A82,IF(Z82="","",INDEX('[1]liste reference'!$A$8:$A$904,Z82))))</f>
        <v/>
      </c>
      <c r="Z82" s="9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RUISSEAU DE LA ROCHE</v>
      </c>
      <c r="B84" s="256" t="str">
        <f aca="false">C3</f>
        <v>RUYNES EN MARGERIDE</v>
      </c>
      <c r="C84" s="257" t="n">
        <f aca="false">A4</f>
        <v>41850</v>
      </c>
      <c r="D84" s="258" t="n">
        <f aca="false">IF(ISERROR(SUM($T$23:$T$82)/SUM($U$23:$U$82)),"",SUM($T$23:$T$82)/SUM($U$23:$U$82))</f>
        <v>14</v>
      </c>
      <c r="E84" s="259" t="n">
        <f aca="false">N13</f>
        <v>10</v>
      </c>
      <c r="F84" s="256" t="n">
        <f aca="false">N14</f>
        <v>8</v>
      </c>
      <c r="G84" s="256" t="n">
        <f aca="false">N15</f>
        <v>3</v>
      </c>
      <c r="H84" s="256" t="n">
        <f aca="false">N16</f>
        <v>4</v>
      </c>
      <c r="I84" s="256" t="n">
        <f aca="false">N17</f>
        <v>1</v>
      </c>
      <c r="J84" s="260" t="n">
        <f aca="false">N8</f>
        <v>13.375</v>
      </c>
      <c r="K84" s="258" t="n">
        <f aca="false">N9</f>
        <v>2.23257138743647</v>
      </c>
      <c r="L84" s="259" t="n">
        <f aca="false">N10</f>
        <v>10</v>
      </c>
      <c r="M84" s="259" t="n">
        <f aca="false">N11</f>
        <v>16</v>
      </c>
      <c r="N84" s="258" t="n">
        <f aca="false">O8</f>
        <v>1.75</v>
      </c>
      <c r="O84" s="258" t="n">
        <f aca="false">O9</f>
        <v>0.661437827766148</v>
      </c>
      <c r="P84" s="259" t="n">
        <f aca="false">O10</f>
        <v>1</v>
      </c>
      <c r="Q84" s="259" t="n">
        <f aca="false">O11</f>
        <v>3</v>
      </c>
      <c r="R84" s="259" t="n">
        <f aca="false">F21</f>
        <v>0.431</v>
      </c>
      <c r="S84" s="259" t="n">
        <f aca="false">K11</f>
        <v>0</v>
      </c>
      <c r="T84" s="259" t="n">
        <f aca="false">K12</f>
        <v>1</v>
      </c>
      <c r="U84" s="259" t="n">
        <f aca="false">K13</f>
        <v>5</v>
      </c>
      <c r="V84" s="261" t="n">
        <f aca="false">K14</f>
        <v>0</v>
      </c>
      <c r="W84" s="262" t="n">
        <f aca="false">K15</f>
        <v>4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88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89</v>
      </c>
      <c r="R87" s="9"/>
      <c r="S87" s="216" t="n">
        <f aca="false">VLOOKUP(MAX($S$23:$S$82),($S$23:$U$82),1,0)</f>
        <v>24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90</v>
      </c>
      <c r="R88" s="9"/>
      <c r="S88" s="216" t="n">
        <f aca="false">VLOOKUP((S87),($S$23:$U$82),2,0)</f>
        <v>24</v>
      </c>
      <c r="T88" s="9"/>
      <c r="U88" s="9"/>
      <c r="V88" s="9"/>
    </row>
    <row r="89" customFormat="false" ht="12.75" hidden="true" customHeight="false" outlineLevel="0" collapsed="false">
      <c r="Q89" s="9" t="s">
        <v>91</v>
      </c>
      <c r="R89" s="9"/>
      <c r="S89" s="216" t="n">
        <f aca="false">VLOOKUP((S87),($S$23:$U$82),3,0)</f>
        <v>2</v>
      </c>
      <c r="T89" s="9"/>
    </row>
    <row r="90" customFormat="false" ht="12.75" hidden="false" customHeight="false" outlineLevel="0" collapsed="false">
      <c r="Q90" s="9" t="s">
        <v>92</v>
      </c>
      <c r="R90" s="9"/>
      <c r="S90" s="264" t="n">
        <f aca="false">IF(ISERROR(SUM($T$23:$T$82)/SUM($U$23:$U$82)),"",(SUM($T$23:$T$82)-S88)/(SUM($U$23:$U$82)-S89))</f>
        <v>14.3076923076923</v>
      </c>
      <c r="T90" s="9"/>
    </row>
    <row r="91" customFormat="false" ht="12.75" hidden="false" customHeight="false" outlineLevel="0" collapsed="false">
      <c r="Q91" s="215" t="s">
        <v>93</v>
      </c>
      <c r="R91" s="215"/>
      <c r="S91" s="215" t="str">
        <f aca="false">INDEX('[1]liste reference'!$A$8:$A$904,$T$91)</f>
        <v>RHYRIP</v>
      </c>
      <c r="T91" s="9" t="n">
        <f aca="false">IF(ISERROR(MATCH($S$93,'[1]liste reference'!$A$8:$A$904,0)),MATCH($S$93,'[1]liste reference'!$B$8:$B$904,0),(MATCH($S$93,'[1]liste reference'!$A$8:$A$904,0)))</f>
        <v>252</v>
      </c>
      <c r="U91" s="254"/>
    </row>
    <row r="92" customFormat="false" ht="12.75" hidden="false" customHeight="false" outlineLevel="0" collapsed="false">
      <c r="Q92" s="9" t="s">
        <v>94</v>
      </c>
      <c r="R92" s="9"/>
      <c r="S92" s="9" t="n">
        <f aca="false">MATCH(S87,$S$23:$S$82,0)</f>
        <v>6</v>
      </c>
      <c r="T92" s="9"/>
    </row>
    <row r="93" customFormat="false" ht="12.75" hidden="false" customHeight="false" outlineLevel="0" collapsed="false">
      <c r="Q93" s="215" t="s">
        <v>95</v>
      </c>
      <c r="R93" s="9"/>
      <c r="S93" s="215" t="str">
        <f aca="false">INDEX($A$23:$A$82,$S$92)</f>
        <v>RHYRIP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9">
    <dataValidation allowBlank="true" errorStyle="stop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AA23:AA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2024-04-16T07:06:02Z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