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6650" sheetId="6" state="visible" r:id="rId8"/>
    <sheet name="jgjg" sheetId="7" state="hidden" r:id="rId9"/>
    <sheet name="liste codes réf" sheetId="8" state="hidden" r:id="rId10"/>
  </sheets>
  <definedNames>
    <definedName function="false" hidden="false" localSheetId="5" name="_xlnm.Print_Area" vbProcedure="false">'05116650'!$A$1:$Q$82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'05116650'!$A$1:$Q$82</definedName>
    <definedName function="false" hidden="false" localSheetId="5" name="_xlnm__FilterDatabase" vbProcedure="false">'05116650'!$A$1:$C$1415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<sst xmlns="http://schemas.openxmlformats.org/spreadsheetml/2006/main" count="8827" uniqueCount="3496">
  <si>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</si>
  <si>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</si>
  <si>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</si>
  <si>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</si>
  <si>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</si>
  <si>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</si>
  <si>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</si>
  <si>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</si>
  <si>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</si>
  <si>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</si>
  <si>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</si>
  <si>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</si>
  <si>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</si>
  <si>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</si>
  <si>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</si>
  <si>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</si>
  <si>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</si>
  <si>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</si>
  <si>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</si>
  <si>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</si>
  <si>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</si>
  <si>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</si>
  <si>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</si>
  <si>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</si>
  <si>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</si>
  <si>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</si>
  <si>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</si>
  <si>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</si>
  <si>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</si>
  <si>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</si>
  <si>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</si>
  <si>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</si>
  <si>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</si>
  <si>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</si>
  <si>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</si>
  <si>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</si>
  <si>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</si>
  <si>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</si>
  <si>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</si>
  <si>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</si>
  <si>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</si>
  <si>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</si>
  <si>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</si>
  <si>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</si>
  <si>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</si>
  <si>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</si>
  <si>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</si>
  <si>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</si>
  <si>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</si>
  <si>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</si>
  <si>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</si>
  <si>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</si>
  <si>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</si>
  <si>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</si>
  <si>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</si>
  <si>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</si>
  <si>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</si>
  <si>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</si>
  <si>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</si>
  <si>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</si>
  <si>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</si>
  <si>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</si>
  <si>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</si>
  <si>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</si>
  <si>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</si>
  <si>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</si>
  <si>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</si>
  <si>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</si>
  <si>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</si>
  <si>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</si>
  <si>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</si>
  <si>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</si>
  <si>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</si>
  <si>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</si>
  <si>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</si>
  <si>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</si>
  <si>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</si>
  <si>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</si>
  <si>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</si>
  <si>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</si>
  <si>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</si>
  <si>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</si>
  <si>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</si>
  <si>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</si>
  <si>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</si>
  <si>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</si>
  <si>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</si>
  <si>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</si>
  <si>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</si>
  <si>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</si>
  <si>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</si>
  <si>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</si>
  <si>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</si>
  <si>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</si>
  <si>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</si>
  <si>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</si>
  <si>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</si>
  <si>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</si>
  <si>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</si>
  <si>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</si>
  <si>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</si>
  <si>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</si>
  <si>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</si>
  <si>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</si>
  <si>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</si>
  <si>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</si>
  <si>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</si>
  <si>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</si>
  <si>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</si>
  <si>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</si>
  <si>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</si>
  <si>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</si>
  <si>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</si>
  <si>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</si>
  <si>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</si>
  <si>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</si>
  <si>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</si>
  <si>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</si>
  <si>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</si>
  <si>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</si>
  <si>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</si>
  <si>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</si>
  <si>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</si>
  <si>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</si>
  <si>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</si>
  <si>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</si>
  <si>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</si>
  <si>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</si>
  <si>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</si>
  <si>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</si>
  <si>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</si>
  <si>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</si>
  <si>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</si>
  <si>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</si>
  <si>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</si>
  <si>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</si>
  <si>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</si>
  <si>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</si>
  <si>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</si>
  <si>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</si>
  <si>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</si>
  <si>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</si>
  <si>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</si>
  <si>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</si>
  <si>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</si>
  <si>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</si>
  <si>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</si>
  <si>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</si>
  <si>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</si>
  <si>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</si>
  <si>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</si>
  <si>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</si>
  <si>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</si>
  <si>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</si>
  <si>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</si>
  <si>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</si>
  <si>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</si>
  <si>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</si>
  <si>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</si>
  <si>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</si>
  <si>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</si>
  <si>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</si>
  <si>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</si>
  <si>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</si>
  <si>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</si>
  <si>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</si>
  <si>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</si>
  <si>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</si>
  <si>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</si>
  <si>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</si>
  <si>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</si>
  <si>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</si>
  <si>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</si>
  <si>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</si>
  <si>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</si>
  <si>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</si>
  <si>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</si>
  <si>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</si>
  <si>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</si>
  <si>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</si>
  <si>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</si>
  <si>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</si>
  <si>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</si>
  <si>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</si>
  <si>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</si>
  <si>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</si>
  <si>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</si>
  <si>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</si>
  <si>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</si>
  <si>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</si>
  <si>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</si>
  <si>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</si>
  <si>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</si>
  <si>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</si>
  <si>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</si>
  <si>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</si>
  <si>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</si>
  <si>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</si>
  <si>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</si>
  <si>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</si>
  <si>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</si>
  <si>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</si>
  <si>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</si>
  <si>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</si>
  <si>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</si>
  <si>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</si>
  <si>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</si>
  <si>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</si>
  <si>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</si>
  <si>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</si>
  <si>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</si>
  <si>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</si>
  <si>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</si>
  <si>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</si>
  <si>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</si>
  <si>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</si>
  <si>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</si>
  <si>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</si>
  <si>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</si>
  <si>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</si>
  <si>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</si>
  <si>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</si>
  <si>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</si>
  <si>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</si>
  <si>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</si>
  <si>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</si>
  <si>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</si>
  <si>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</si>
  <si>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</si>
  <si>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</si>
  <si>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</si>
  <si>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</si>
  <si>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</si>
  <si>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</si>
  <si>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</si>
  <si>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</si>
  <si>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</si>
  <si>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</si>
  <si>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</si>
  <si>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</si>
  <si>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</si>
  <si>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</si>
  <si>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</si>
  <si>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</si>
  <si>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</si>
  <si>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</si>
  <si>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</si>
  <si>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</si>
  <si>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</si>
  <si>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</si>
  <si>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</si>
  <si>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</si>
  <si>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</si>
  <si>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</si>
  <si>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</si>
  <si>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</si>
  <si>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</si>
  <si>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</si>
  <si>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</si>
  <si>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</si>
  <si>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</si>
  <si>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</si>
  <si>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</si>
  <si>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</si>
  <si>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</si>
  <si>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</si>
  <si>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</si>
  <si>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</si>
  <si>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</si>
  <si>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</si>
  <si>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</si>
  <si>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</si>
  <si>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</si>
  <si>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</si>
  <si>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</si>
  <si>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</si>
  <si>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</si>
  <si>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</si>
  <si>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</si>
  <si>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</si>
  <si>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</si>
  <si>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</si>
  <si>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</si>
  <si>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</si>
  <si>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</si>
  <si>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</si>
  <si>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</si>
  <si>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</si>
  <si>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</si>
  <si>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</si>
  <si>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</si>
  <si>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</si>
  <si>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</si>
  <si>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</si>
  <si>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</si>
  <si>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</si>
  <si>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</si>
  <si>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</si>
  <si>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</si>
  <si>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</si>
  <si>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</si>
  <si>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</si>
  <si>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</si>
  <si>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</si>
  <si>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</si>
  <si>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</si>
  <si>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</si>
  <si>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</si>
  <si>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</si>
  <si>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</si>
  <si>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</si>
  <si>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</si>
  <si>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</si>
  <si>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</si>
  <si>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</si>
  <si>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</si>
  <si>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</si>
  <si>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</si>
  <si>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</si>
  <si>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</si>
  <si>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</si>
  <si>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</si>
  <si>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</si>
  <si>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</si>
  <si>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</si>
  <si>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</si>
  <si>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</si>
  <si>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</si>
  <si>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</si>
  <si>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</si>
  <si>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</si>
  <si>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</si>
  <si>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</si>
  <si>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</si>
  <si>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</si>
  <si>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</si>
  <si>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</si>
  <si>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</si>
  <si>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</si>
  <si>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</si>
  <si>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</si>
  <si>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</si>
  <si>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</si>
  <si>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</si>
  <si>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</si>
  <si>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</si>
  <si>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</si>
  <si>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</si>
  <si>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</si>
  <si>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</si>
  <si>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</si>
  <si>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</si>
  <si>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</si>
  <si>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</si>
  <si>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</si>
  <si>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</si>
  <si>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</si>
  <si>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</si>
  <si>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</si>
  <si>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</si>
  <si>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</si>
  <si>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</si>
  <si>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</si>
  <si>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</si>
  <si>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</si>
  <si>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</si>
  <si>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</si>
  <si>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</si>
  <si>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</si>
  <si>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</si>
  <si>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</si>
  <si>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</si>
  <si>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</si>
  <si>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</si>
  <si>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</si>
  <si>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</si>
  <si>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</si>
  <si>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</si>
  <si>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</si>
  <si>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</si>
  <si>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</si>
  <si>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</si>
  <si>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</si>
  <si>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</si>
  <si>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</si>
  <si>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</si>
  <si>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</si>
  <si>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</si>
  <si>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</si>
  <si>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</si>
  <si>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</si>
  <si>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</si>
  <si>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</si>
  <si>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</si>
  <si>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</si>
  <si>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</si>
  <si>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</si>
  <si>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</si>
  <si>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</si>
  <si>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</si>
  <si>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</si>
  <si>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</si>
  <si>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</si>
  <si>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</si>
  <si>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</si>
  <si>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</si>
  <si>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</si>
  <si>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</si>
  <si>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</si>
  <si>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</si>
  <si>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</si>
  <si>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</si>
  <si>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</si>
  <si>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</si>
  <si>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</si>
  <si>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</si>
  <si>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</si>
  <si>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</si>
  <si>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</si>
  <si>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</si>
  <si>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</si>
  <si>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</si>
  <si>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</si>
  <si>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</si>
  <si>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</si>
  <si>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</si>
  <si>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</si>
  <si>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</si>
  <si>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</si>
  <si>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</si>
  <si>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</si>
  <si>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</si>
  <si>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</si>
  <si>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</si>
  <si>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</si>
  <si>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</si>
  <si>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</si>
  <si>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</si>
  <si>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</si>
  <si>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</si>
  <si>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</si>
  <si>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</si>
  <si>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</si>
  <si>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</si>
  <si>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</si>
  <si>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</si>
  <si>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</si>
  <si>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</si>
  <si>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</si>
  <si>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</si>
  <si>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</si>
  <si>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</si>
  <si>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</si>
  <si>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</si>
  <si>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</si>
  <si>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</si>
  <si>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</si>
  <si>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</si>
  <si>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</si>
  <si>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</si>
  <si>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</si>
  <si>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</si>
  <si>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</si>
  <si>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</si>
  <si>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</si>
  <si>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</si>
  <si>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</si>
  <si>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</si>
  <si>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</si>
  <si>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</si>
  <si>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</si>
  <si>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</si>
  <si>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</si>
  <si>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</si>
  <si>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</si>
  <si>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</si>
  <si>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</si>
  <si>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</si>
  <si>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</si>
  <si>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</si>
  <si>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</si>
  <si>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</si>
  <si>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</si>
  <si>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</si>
  <si>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</si>
  <si>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</si>
  <si>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</si>
  <si>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</si>
  <si>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</si>
  <si>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</si>
  <si>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</si>
  <si>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</si>
  <si>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</si>
  <si>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</si>
  <si>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</si>
  <si>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</si>
  <si>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</si>
  <si>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</si>
  <si>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</si>
  <si>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</si>
  <si>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</si>
  <si>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</si>
  <si>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</si>
  <si>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</si>
  <si>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</si>
  <si>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</si>
  <si>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</si>
  <si>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</si>
  <si>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</si>
  <si>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</si>
  <si>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</si>
  <si>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</si>
  <si>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</si>
  <si>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</si>
  <si>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</si>
  <si>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</si>
  <si>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</si>
  <si>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</si>
  <si>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</si>
  <si>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</si>
  <si>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</si>
  <si>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</si>
  <si>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</si>
  <si>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</si>
  <si>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</si>
  <si>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</si>
  <si>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</si>
  <si>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</si>
  <si>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</si>
  <si>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</si>
  <si>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</si>
  <si>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</si>
  <si>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</si>
  <si>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</si>
  <si>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</si>
  <si>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</si>
  <si>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</si>
  <si>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</si>
  <si>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</si>
  <si>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</si>
  <si>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</si>
  <si>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</si>
  <si>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</si>
  <si>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</si>
  <si>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</si>
  <si>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</si>
  <si>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</si>
  <si>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</si>
  <si>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</si>
  <si>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</si>
  <si>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</si>
  <si>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</si>
  <si>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</si>
  <si>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</si>
  <si>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</si>
  <si>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</si>
  <si>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</si>
  <si>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</si>
  <si>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</si>
  <si>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</si>
  <si>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</si>
  <si>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</si>
  <si>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</si>
  <si>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</si>
  <si>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</si>
  <si>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</si>
  <si>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</si>
  <si>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</si>
  <si>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</si>
  <si>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</si>
  <si>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</si>
  <si>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</si>
  <si>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</si>
  <si>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</si>
  <si>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</si>
  <si>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</si>
  <si>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</si>
  <si>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</si>
  <si>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</si>
  <si>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</si>
  <si>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</si>
  <si>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</si>
  <si>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</si>
  <si>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</si>
  <si>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</si>
  <si>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</si>
  <si>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</si>
  <si>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</si>
  <si>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</si>
  <si>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</si>
  <si>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</si>
  <si>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</si>
  <si>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</si>
  <si>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</si>
  <si>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</si>
  <si>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</si>
  <si>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</si>
  <si>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</si>
  <si>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</si>
  <si>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</si>
  <si>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</si>
  <si>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</si>
  <si>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</si>
  <si>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</si>
  <si>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</si>
  <si>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</si>
  <si>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</si>
  <si>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</si>
  <si>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</si>
  <si>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</si>
  <si>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</si>
  <si>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</si>
  <si>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</si>
  <si>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</si>
  <si>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</si>
  <si>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</si>
  <si>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</si>
  <si>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</si>
  <si>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</si>
  <si>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</si>
  <si>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</si>
  <si>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</si>
  <si>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</si>
  <si>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</si>
  <si>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</si>
  <si>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</si>
  <si>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</si>
  <si>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</si>
  <si>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</si>
  <si>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</si>
  <si>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</si>
  <si>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</si>
  <si>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</si>
  <si>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</si>
  <si>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</si>
  <si>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</si>
  <si>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</si>
  <si>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</si>
  <si>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</si>
  <si>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</si>
  <si>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</si>
  <si>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</si>
  <si>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</si>
  <si>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</si>
  <si>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</si>
  <si>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</si>
  <si>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</si>
  <si>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</si>
  <si>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</si>
  <si>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</si>
  <si>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</si>
  <si>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</si>
  <si>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</si>
  <si>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</si>
  <si>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</si>
  <si>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</si>
  <si>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</si>
  <si>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</si>
  <si>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</si>
  <si>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</si>
  <si>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</si>
  <si>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</si>
  <si>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</si>
  <si>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</si>
  <si>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</si>
  <si>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</si>
  <si>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</si>
  <si>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</si>
  <si>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</si>
  <si>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</si>
  <si>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</si>
  <si>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</si>
  <si>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</si>
  <si>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</si>
  <si>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</si>
  <si>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</si>
  <si>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</si>
  <si>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</si>
  <si>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</si>
  <si>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</si>
  <si>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</si>
  <si>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</si>
  <si>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</si>
  <si>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</si>
  <si>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</si>
  <si>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</si>
  <si>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</si>
  <si>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</si>
  <si>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</si>
  <si>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</si>
  <si>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</si>
  <si>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</si>
  <si>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</si>
  <si>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</si>
  <si>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</si>
  <si>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</si>
  <si>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</si>
  <si>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</si>
  <si>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</si>
  <si>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</si>
  <si>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</si>
  <si>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</si>
  <si>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</si>
  <si>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</si>
  <si>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</si>
  <si>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</si>
  <si>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</si>
  <si>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</si>
  <si>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</si>
  <si>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</si>
  <si>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</si>
  <si>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</si>
  <si>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</si>
  <si>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</si>
  <si>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</si>
  <si>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</si>
  <si>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</si>
  <si>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</si>
  <si>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</si>
  <si>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</si>
  <si>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</si>
  <si>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</si>
  <si>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</si>
  <si>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</si>
  <si>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</si>
  <si>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</si>
  <si>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</si>
  <si>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</si>
  <si>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</si>
  <si>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</si>
  <si>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</si>
  <si>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</si>
  <si>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</si>
  <si>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</si>
  <si>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</si>
  <si>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</si>
  <si>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</si>
  <si>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</si>
  <si>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</si>
  <si>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</si>
  <si>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</si>
  <si>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</si>
  <si>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</si>
  <si>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</si>
  <si>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</si>
  <si>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</si>
  <si>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</si>
  <si>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</si>
  <si>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</si>
  <si>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</si>
  <si>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</si>
  <si>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</si>
  <si>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</si>
  <si>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</si>
  <si>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</si>
  <si>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</si>
  <si>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</si>
  <si>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</si>
  <si>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</si>
  <si>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</si>
  <si>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</si>
  <si>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</si>
  <si>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</si>
  <si>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</si>
  <si>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</si>
  <si>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</si>
  <si>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</si>
  <si>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</si>
  <si>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</si>
  <si>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</si>
  <si>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</si>
  <si>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</si>
  <si>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</si>
  <si>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</si>
  <si>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</si>
  <si>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</si>
  <si>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</si>
  <si>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</si>
  <si>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</si>
  <si>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</si>
  <si>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</si>
  <si>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</si>
  <si>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</si>
  <si>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</si>
  <si>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</si>
  <si>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</si>
  <si>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</si>
  <si>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</si>
  <si>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</si>
  <si>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</si>
  <si>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</si>
  <si>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</si>
  <si>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</si>
  <si>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</si>
  <si>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</si>
  <si>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</si>
  <si>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</si>
  <si>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</si>
  <si>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</si>
  <si>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</si>
  <si>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</si>
  <si>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</si>
  <si>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</si>
  <si>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</si>
  <si>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</si>
  <si>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</si>
  <si>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</si>
  <si>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</si>
  <si>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</si>
  <si>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</si>
  <si>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</si>
  <si>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</si>
  <si>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</si>
  <si>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</si>
  <si>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</si>
  <si>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</si>
  <si>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</si>
  <si>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</si>
  <si>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</si>
  <si>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</si>
  <si>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</si>
  <si>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</si>
  <si>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</si>
  <si>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</si>
  <si>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</si>
  <si>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</si>
  <si>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</si>
  <si>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</si>
  <si>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</si>
  <si>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</si>
  <si>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</si>
  <si>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</si>
  <si>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</si>
  <si>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</si>
  <si>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</si>
  <si>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</si>
  <si>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</si>
  <si>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</si>
  <si>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</si>
  <si>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</si>
  <si>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</si>
  <si>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</si>
  <si>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</si>
  <si>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</si>
  <si>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</si>
  <si>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</si>
  <si>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</si>
  <si>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</si>
  <si>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</si>
  <si>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</si>
  <si>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</si>
  <si>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</si>
  <si>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</si>
  <si>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</si>
  <si>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</si>
  <si>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</si>
  <si>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</si>
  <si>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</si>
  <si>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</si>
  <si>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</si>
  <si>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</si>
  <si>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</si>
  <si>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</si>
  <si>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</si>
  <si>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</si>
  <si>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</si>
  <si>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</si>
  <si>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</si>
  <si>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</si>
  <si>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</si>
  <si>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</si>
  <si>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</si>
  <si>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</si>
  <si>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</si>
  <si>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</si>
  <si>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</si>
  <si>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</si>
  <si>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</si>
  <si>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</si>
  <si>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</si>
  <si>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</si>
  <si>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</si>
  <si>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</si>
  <si>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</si>
  <si>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</si>
  <si>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</si>
  <si>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</si>
  <si>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</si>
  <si>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</si>
  <si>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</si>
  <si>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</si>
  <si>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</si>
  <si>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</si>
  <si>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</si>
  <si>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</si>
  <si>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</si>
  <si>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</si>
  <si>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</si>
  <si>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</si>
  <si>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</si>
  <si>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</si>
  <si>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</si>
  <si>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</si>
  <si>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</si>
  <si>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</si>
  <si>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</si>
  <si>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</si>
  <si>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</si>
  <si>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</si>
  <si>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</si>
  <si>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</si>
  <si>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</si>
  <si>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</si>
  <si>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</si>
  <si>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</si>
  <si>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</si>
  <si>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</si>
  <si>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</si>
  <si>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</si>
  <si>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</si>
  <si>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</si>
  <si>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</si>
  <si>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</si>
  <si>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</si>
  <si>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</si>
  <si>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</si>
  <si>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</si>
  <si>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</si>
  <si>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</si>
  <si>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</si>
  <si>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</si>
  <si>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</si>
  <si>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</si>
  <si>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</si>
  <si>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</si>
  <si>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</si>
  <si>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</si>
  <si>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</si>
  <si>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</si>
  <si>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</si>
  <si>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</si>
  <si>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</si>
  <si>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</si>
  <si>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</si>
  <si>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</si>
  <si>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</si>
  <si>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</si>
  <si>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</si>
  <si>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</si>
  <si>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</si>
  <si>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</si>
  <si>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</si>
  <si>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</si>
  <si>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</si>
  <si>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</si>
  <si>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</si>
  <si>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</si>
  <si>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</si>
  <si>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</si>
  <si>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</si>
  <si>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</si>
  <si>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</si>
  <si>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</si>
  <si>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</si>
  <si>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</si>
  <si>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</si>
  <si>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</si>
  <si>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</si>
  <si>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</si>
  <si>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</si>
  <si>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</si>
  <si>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</si>
  <si>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</si>
  <si>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</si>
  <si>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</si>
  <si>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</si>
  <si>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</si>
  <si>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</si>
  <si>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</si>
  <si>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</si>
  <si>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</si>
  <si>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</si>
  <si>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</si>
  <si>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</si>
  <si>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</si>
  <si>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</si>
  <si>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</si>
  <si>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</si>
  <si>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</si>
  <si>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</si>
  <si>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</si>
  <si>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</si>
  <si>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</si>
  <si>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</si>
  <si>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</si>
  <si>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</si>
  <si>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</si>
  <si>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</si>
  <si>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</si>
  <si>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</si>
  <si>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</si>
  <si>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</si>
  <si>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</si>
  <si>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</si>
  <si>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</si>
  <si>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</si>
  <si>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</si>
  <si>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</si>
  <si>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</si>
  <si>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</si>
  <si>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</si>
  <si>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</si>
  <si>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</si>
  <si>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</si>
  <si>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</si>
  <si>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</si>
  <si>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</si>
  <si>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</si>
  <si>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</si>
  <si>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</si>
  <si>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</si>
  <si>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</si>
  <si>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</si>
  <si>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</si>
  <si>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</si>
  <si>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</si>
  <si>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</si>
  <si>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</si>
  <si>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</si>
  <si>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</si>
  <si>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</si>
  <si>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</si>
  <si>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</si>
  <si>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</si>
  <si>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</si>
  <si>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</si>
  <si>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</si>
  <si>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</si>
  <si>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</si>
  <si>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</si>
  <si>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</si>
  <si>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</si>
  <si>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</si>
  <si>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</si>
  <si>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</si>
  <si>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</si>
  <si>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</si>
  <si>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</si>
  <si>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</si>
  <si>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</si>
  <si>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</si>
  <si>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</si>
  <si>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</si>
  <si>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</si>
  <si>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</si>
  <si>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</si>
  <si>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</si>
  <si>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</si>
  <si>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</si>
  <si>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</si>
  <si>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</si>
  <si>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</si>
  <si>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</si>
  <si>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</si>
  <si>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</si>
  <si>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</si>
  <si>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</si>
  <si>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</si>
  <si>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</si>
  <si>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</si>
  <si>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</si>
  <si>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</si>
  <si>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</si>
  <si>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</si>
  <si>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</si>
  <si>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</si>
  <si>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</si>
  <si>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</si>
  <si>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</si>
  <si>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</si>
  <si>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</si>
  <si>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</si>
  <si>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</si>
  <si>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</si>
  <si>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</si>
  <si>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</si>
  <si>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</si>
  <si>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</si>
  <si>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</si>
  <si>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</si>
  <si>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</si>
  <si>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</si>
  <si>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</si>
  <si>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</si>
  <si>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</si>
  <si>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</si>
  <si>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</si>
  <si>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</si>
  <si>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</si>
  <si>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</si>
  <si>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</si>
  <si>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</si>
  <si>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</si>
  <si>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</si>
  <si>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</si>
  <si>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</si>
  <si>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</si>
  <si>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</si>
  <si>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</si>
  <si>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</si>
  <si>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</si>
  <si>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</si>
  <si>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</si>
  <si>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</si>
  <si>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</si>
  <si>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</si>
  <si>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</si>
  <si>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</si>
  <si>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</si>
  <si>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</si>
  <si>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</si>
  <si>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</si>
  <si>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</si>
  <si>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</si>
  <si>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</si>
  <si>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</si>
  <si>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</si>
  <si>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</si>
  <si>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</si>
  <si>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</si>
  <si>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</si>
  <si>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</si>
  <si>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</si>
  <si>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</si>
  <si>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</si>
  <si>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</si>
  <si>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</si>
  <si>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</si>
  <si>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</si>
  <si>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</si>
  <si>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</si>
  <si>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</si>
  <si>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</si>
  <si>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</si>
  <si>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</si>
  <si>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</si>
  <si>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</si>
  <si>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</si>
  <si>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</si>
  <si>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</si>
  <si>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</si>
  <si>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</si>
  <si>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</si>
  <si>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</si>
  <si>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</si>
  <si>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</si>
  <si>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</si>
  <si>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</si>
  <si>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</si>
  <si>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</si>
  <si>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</si>
  <si>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</si>
  <si>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</si>
  <si>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</si>
  <si>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</si>
  <si>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</si>
  <si>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</si>
  <si>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</si>
  <si>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</si>
  <si>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</si>
  <si>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</si>
  <si>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</si>
  <si>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</si>
  <si>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</si>
  <si>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</si>
  <si>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</si>
  <si>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</si>
  <si>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</si>
  <si>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</si>
  <si>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</si>
  <si>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</si>
  <si>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</si>
  <si>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</si>
  <si>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</si>
  <si>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</si>
  <si>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</si>
  <si>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</si>
  <si>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</si>
  <si>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</si>
  <si>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</si>
  <si>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</si>
  <si>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</si>
  <si>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</si>
  <si>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</si>
  <si>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</si>
  <si>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</si>
  <si>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</si>
  <si>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</si>
  <si>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</si>
  <si>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</si>
  <si>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</si>
  <si>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</si>
  <si>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</si>
  <si>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</si>
  <si>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</si>
  <si>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</si>
  <si>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</si>
  <si>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</si>
  <si>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</si>
  <si>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</si>
  <si>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</si>
  <si>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</si>
  <si>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</si>
  <si>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</si>
  <si>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</si>
  <si>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</si>
  <si>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</si>
  <si>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</si>
  <si>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</si>
  <si>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</si>
  <si>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</si>
  <si>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</si>
  <si>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</si>
  <si>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</si>
  <si>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</si>
  <si>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</si>
  <si>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</si>
  <si>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</si>
  <si>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</si>
  <si>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</si>
  <si>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</si>
  <si>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</si>
  <si>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</si>
  <si>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</si>
  <si>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</si>
  <si>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</si>
  <si>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</si>
  <si>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</si>
  <si>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</si>
  <si>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</si>
  <si>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</si>
  <si>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</si>
  <si>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</si>
  <si>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</si>
  <si>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</si>
  <si>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</si>
  <si>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</si>
  <si>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</si>
  <si>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</si>
  <si>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</si>
  <si>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</si>
  <si>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</si>
  <si>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</si>
  <si>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</si>
  <si>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</si>
  <si>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</si>
  <si>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</si>
  <si>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</si>
  <si>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</si>
  <si>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</si>
  <si>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</si>
  <si>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</si>
  <si>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</si>
  <si>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</si>
  <si>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</si>
  <si>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</si>
  <si>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</si>
  <si>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</si>
  <si>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</si>
  <si>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</si>
  <si>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</si>
  <si>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</si>
  <si>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</si>
  <si>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</si>
  <si>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</si>
  <si>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</si>
  <si>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</si>
  <si>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</si>
  <si>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</si>
  <si>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</si>
  <si>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</si>
  <si>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</si>
  <si>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</si>
  <si>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</si>
  <si>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</si>
  <si>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</si>
  <si>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</si>
  <si>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</si>
  <si>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</si>
  <si>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</si>
  <si>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</si>
  <si>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</si>
  <si>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</si>
  <si>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</si>
  <si>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</si>
  <si>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</si>
  <si>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</si>
  <si>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</si>
  <si>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</si>
  <si>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</si>
  <si>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</si>
  <si>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</si>
  <si>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</si>
  <si>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</si>
  <si>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</si>
  <si>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</si>
  <si>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</si>
  <si>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</si>
  <si>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</si>
  <si>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</si>
  <si>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</si>
  <si>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</si>
  <si>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</si>
  <si>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</si>
  <si>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</si>
  <si>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</si>
  <si>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</si>
  <si>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</si>
  <si>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</si>
  <si>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</si>
  <si>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</si>
  <si>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</si>
  <si>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</si>
  <si>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</si>
  <si>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</si>
  <si>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</si>
  <si>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</si>
  <si>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</si>
  <si>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</si>
  <si>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</si>
  <si>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</si>
  <si>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</si>
  <si>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</si>
  <si>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</si>
  <si>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</si>
  <si>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</si>
  <si>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</si>
  <si>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</si>
  <si>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</si>
  <si>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</si>
  <si>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</si>
  <si>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</si>
  <si>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</si>
  <si>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</si>
  <si>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</si>
  <si>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</si>
  <si>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</si>
  <si>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</si>
  <si>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</si>
  <si>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</si>
  <si>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</si>
  <si>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</si>
  <si>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</si>
  <si>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</si>
  <si>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</si>
  <si>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</si>
  <si>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</si>
  <si>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</si>
  <si>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</si>
  <si>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</si>
  <si>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</si>
  <si>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</si>
  <si>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</si>
  <si>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</si>
  <si>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</si>
  <si>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</si>
  <si>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</si>
  <si>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</si>
  <si>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</si>
  <si>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</si>
  <si>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</si>
  <si>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</si>
  <si>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</si>
  <si>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</si>
  <si>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</si>
  <si>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</si>
  <si>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</si>
  <si>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</si>
  <si>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</si>
  <si>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</si>
  <si>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</si>
  <si>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</si>
  <si>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</si>
  <si>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</si>
  <si>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</si>
  <si>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</si>
  <si>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</si>
  <si>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</si>
  <si>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</si>
  <si>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</si>
  <si>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</si>
  <si>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</si>
  <si>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</si>
  <si>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</si>
  <si>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</si>
  <si>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</si>
  <si>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</si>
  <si>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</si>
  <si>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</si>
  <si>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</si>
  <si>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</si>
  <si>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</si>
  <si>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</si>
  <si>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</si>
  <si>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</si>
  <si>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</si>
  <si>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</si>
  <si>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</si>
  <si>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</si>
  <si>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</si>
  <si>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</si>
  <si>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</si>
  <si>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</si>
  <si>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</si>
  <si>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</si>
  <si>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</si>
  <si>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</si>
  <si>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</si>
  <si>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</si>
  <si>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</si>
  <si>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</si>
  <si>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</si>
  <si>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</si>
  <si>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</si>
  <si>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</si>
  <si>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</si>
  <si>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</si>
  <si>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</si>
  <si>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</si>
  <si>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</si>
  <si>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</si>
  <si>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</si>
  <si>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</si>
  <si>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</si>
  <si>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</si>
  <si>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</si>
  <si>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</si>
  <si>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</si>
  <si>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</si>
  <si>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</si>
  <si>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</si>
  <si>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</si>
  <si>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</si>
  <si>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</si>
  <si>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</si>
  <si>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</si>
  <si>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</si>
  <si>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</si>
  <si>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</si>
  <si>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</si>
  <si>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</si>
  <si>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</si>
  <si>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</si>
  <si>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</si>
  <si>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</si>
  <si>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</si>
  <si>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</si>
  <si>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</si>
  <si>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</si>
  <si>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</si>
  <si>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</si>
  <si>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</si>
  <si>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</si>
  <si>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</si>
  <si>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</si>
  <si>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</si>
  <si>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</si>
  <si>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</si>
  <si>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</si>
  <si>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</si>
  <si>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</si>
  <si>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</si>
  <si>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</si>
  <si>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</si>
  <si>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</si>
  <si>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</si>
  <si>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</si>
  <si>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</si>
  <si>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</si>
  <si>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</si>
  <si>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</si>
  <si>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</si>
  <si>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</si>
  <si>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</si>
  <si>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</si>
  <si>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</si>
  <si>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</si>
  <si>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</si>
  <si>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</si>
  <si>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</si>
  <si>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</si>
  <si>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</si>
  <si>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</si>
  <si>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</si>
  <si>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</si>
  <si>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</si>
  <si>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</si>
  <si>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</si>
  <si>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</si>
  <si>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</si>
  <si>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</si>
  <si>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</si>
  <si>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</si>
  <si>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</si>
  <si>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</si>
  <si>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</si>
  <si>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</si>
  <si>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</si>
  <si>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</si>
  <si>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</si>
  <si>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</si>
  <si>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</si>
  <si>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</si>
  <si>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</si>
  <si>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</si>
  <si>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</si>
  <si>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</si>
  <si>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</si>
  <si>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</si>
  <si>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</si>
  <si>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</si>
  <si>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</si>
  <si>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</si>
  <si>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</si>
  <si>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</si>
  <si>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</si>
  <si>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</si>
  <si>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</si>
  <si>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</si>
  <si>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</si>
  <si>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</si>
  <si>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</si>
  <si>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</si>
  <si>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</si>
  <si>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</si>
  <si>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</si>
  <si>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</si>
  <si>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</si>
  <si>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</si>
  <si>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</si>
  <si>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</si>
  <si>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</si>
  <si>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</si>
  <si>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</si>
  <si>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</si>
  <si>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</si>
  <si>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</si>
  <si>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</si>
  <si>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</si>
  <si>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</si>
  <si>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</si>
  <si>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</si>
  <si>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</si>
  <si>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</si>
  <si>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</si>
  <si>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</si>
  <si>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</si>
  <si>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</si>
  <si>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</si>
  <si>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</si>
  <si>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</si>
  <si>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</si>
  <si>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</si>
  <si>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</si>
  <si>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</si>
  <si>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</si>
  <si>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</si>
  <si>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</si>
  <si>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</si>
  <si>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</si>
  <si>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</si>
  <si>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</si>
  <si>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</si>
  <si>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</si>
  <si>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</si>
  <si>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</si>
  <si>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</si>
  <si>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</si>
  <si>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</si>
  <si>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</si>
  <si>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</si>
  <si>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</si>
  <si>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</si>
  <si>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</si>
  <si>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</si>
  <si>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</si>
  <si>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</si>
  <si>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</si>
  <si>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</si>
  <si>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</si>
  <si>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</si>
  <si>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</si>
  <si>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</si>
  <si>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</si>
  <si>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</si>
  <si>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</si>
  <si>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</si>
  <si>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</si>
  <si>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</si>
  <si>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</si>
  <si>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</si>
  <si>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</si>
  <si>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</si>
  <si>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</si>
  <si>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</si>
  <si>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</si>
  <si>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</si>
  <si>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</si>
  <si>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</si>
  <si>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</si>
  <si>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</si>
  <si>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</si>
  <si>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</si>
  <si>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</si>
  <si>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</si>
  <si>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</si>
  <si>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</si>
  <si>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</si>
  <si>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</si>
  <si>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</si>
  <si>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</si>
  <si>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</si>
  <si>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</si>
  <si>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</si>
  <si>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</si>
  <si>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</si>
  <si>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</si>
  <si>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</si>
  <si>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</si>
  <si>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</si>
  <si>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</si>
  <si>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</si>
  <si>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</si>
  <si>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</si>
  <si>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</si>
  <si>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</si>
  <si>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</si>
  <si>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</si>
  <si>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</si>
  <si>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</si>
  <si>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</si>
  <si>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</si>
  <si>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</si>
  <si>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</si>
  <si>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</si>
  <si>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</si>
  <si>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</si>
  <si>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</si>
  <si>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</si>
  <si>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</si>
  <si>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</si>
  <si>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</si>
  <si>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</si>
  <si>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</si>
  <si>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</si>
  <si>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</si>
  <si>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</si>
  <si>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</si>
  <si>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</si>
  <si>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</si>
  <si>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</si>
  <si>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</si>
  <si>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</si>
  <si>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</si>
  <si>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</si>
  <si>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</si>
  <si>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</si>
  <si>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</si>
  <si>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</si>
  <si>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</si>
  <si>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</si>
  <si>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</si>
  <si>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</si>
  <si>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</si>
  <si>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</si>
  <si>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</si>
  <si>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</si>
  <si>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</si>
  <si>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</si>
  <si>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</si>
  <si>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</si>
  <si>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</si>
  <si>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</si>
  <si>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</si>
  <si>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</si>
  <si>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</si>
  <si>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</si>
  <si>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</si>
  <si>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</si>
  <si>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</si>
  <si>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</si>
  <si>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</si>
  <si>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</si>
  <si>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</si>
  <si>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</si>
  <si>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</si>
  <si>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</si>
  <si>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</si>
  <si>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</si>
  <si>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</si>
  <si>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</si>
  <si>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</si>
  <si>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</si>
  <si>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</si>
  <si>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</si>
  <si>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</si>
  <si>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</si>
  <si>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</si>
  <si>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</si>
  <si>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</si>
  <si>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</si>
  <si>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</si>
  <si>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</si>
  <si>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</si>
  <si>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</si>
  <si>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</si>
  <si>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</si>
  <si>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</si>
  <si>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</si>
  <si>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</si>
  <si>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</si>
  <si>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</si>
  <si>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</si>
  <si>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</si>
  <si>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</si>
  <si>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</si>
  <si>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</si>
  <si>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</si>
  <si>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</si>
  <si>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</si>
  <si>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</si>
  <si>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</si>
  <si>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</si>
  <si>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</si>
  <si>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</si>
  <si>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</si>
  <si>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</si>
  <si>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</si>
  <si>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</si>
  <si>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</si>
  <si>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</si>
  <si>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</si>
  <si>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</si>
  <si>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</si>
  <si>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</si>
  <si>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</si>
  <si>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</si>
  <si>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</si>
  <si>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</si>
  <si>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</si>
  <si>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</si>
  <si>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</si>
  <si>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</si>
  <si>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</si>
  <si>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</si>
  <si>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</si>
  <si>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</si>
  <si>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</si>
  <si>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</si>
  <si>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</si>
  <si>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</si>
  <si>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</si>
  <si>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</si>
  <si>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</si>
  <si>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</si>
  <si>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</si>
  <si>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</si>
  <si>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</si>
  <si>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</si>
  <si>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</si>
  <si>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</si>
  <si>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</si>
  <si>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</si>
  <si>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</si>
  <si>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</si>
  <si>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</si>
  <si>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</si>
  <si>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</si>
  <si>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</si>
  <si>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</si>
  <si>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</si>
  <si>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</si>
  <si>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</si>
  <si>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</si>
  <si>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</si>
  <si>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</si>
  <si>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</si>
  <si>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</si>
  <si>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</si>
  <si>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</si>
  <si>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</si>
  <si>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</si>
  <si>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</si>
  <si>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</si>
  <si>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</si>
  <si>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</si>
  <si>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</si>
  <si>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</si>
  <si>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</si>
  <si>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</si>
  <si>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</si>
  <si>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</si>
  <si>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</si>
  <si>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</si>
  <si>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</si>
  <si>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</si>
  <si>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</si>
  <si>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</si>
  <si>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</si>
  <si>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</si>
  <si>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</si>
  <si>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</si>
  <si>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</si>
  <si>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</si>
  <si>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</si>
  <si>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</si>
  <si>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</si>
  <si>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</si>
  <si>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</si>
  <si>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</si>
  <si>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</si>
  <si>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</si>
  <si>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</si>
  <si>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</si>
  <si>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</si>
  <si>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</si>
  <si>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</si>
  <si>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</si>
  <si>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</si>
  <si>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</si>
  <si>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</si>
  <si>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</si>
  <si>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</si>
  <si>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</si>
  <si>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</si>
  <si>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</si>
  <si>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</si>
  <si>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</si>
  <si>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</si>
  <si>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</si>
  <si>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</si>
  <si>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</si>
  <si>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</si>
  <si>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</si>
  <si>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</si>
  <si>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</si>
  <si>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</si>
  <si>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</si>
  <si>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</si>
  <si>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</si>
  <si>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</si>
  <si>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</si>
  <si>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</si>
  <si>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</si>
  <si>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</si>
  <si>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</si>
  <si>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</si>
  <si>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</si>
  <si>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</si>
  <si>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</si>
  <si>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</si>
  <si>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</si>
  <si>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</si>
  <si>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</si>
  <si>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</si>
  <si>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</si>
  <si>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</si>
  <si>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</si>
  <si>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</si>
  <si>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</si>
  <si>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</si>
  <si>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</si>
  <si>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</si>
  <si>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</si>
  <si>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</si>
  <si>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</si>
  <si>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</si>
  <si>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</si>
  <si>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</si>
  <si>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</si>
  <si>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</si>
  <si>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</si>
  <si>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</si>
  <si>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</si>
  <si>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</si>
  <si>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</si>
  <si>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</si>
  <si>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</si>
  <si>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</si>
  <si>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</si>
  <si>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</si>
  <si>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</si>
  <si>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</si>
  <si>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</si>
  <si>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</si>
  <si>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</si>
  <si>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</si>
  <si>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</si>
  <si>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</si>
  <si>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</si>
  <si>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</si>
  <si>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</si>
  <si>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</si>
  <si>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</si>
  <si>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</si>
  <si>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</si>
  <si>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</si>
  <si>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</si>
  <si>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</si>
  <si>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</si>
  <si>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</si>
  <si>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</si>
  <si>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</si>
  <si>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</si>
  <si>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</si>
  <si>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</si>
  <si>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</si>
  <si>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</si>
  <si>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</si>
  <si>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</si>
  <si>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</si>
  <si>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</si>
  <si>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</si>
  <si>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</si>
  <si>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</si>
  <si>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</si>
  <si>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</si>
  <si>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</si>
  <si>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</si>
  <si>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</si>
  <si>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</si>
  <si>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</si>
  <si>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</si>
  <si>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</si>
  <si>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</si>
  <si>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</si>
  <si>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</si>
  <si>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</si>
  <si>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</si>
  <si>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</si>
  <si>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</si>
  <si>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</si>
  <si>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</si>
  <si>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</si>
  <si>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</si>
  <si>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</si>
  <si>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</si>
  <si>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</si>
  <si>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</si>
  <si>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</si>
  <si>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</si>
  <si>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</si>
  <si>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</si>
  <si>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</si>
  <si>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</si>
  <si>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</si>
  <si>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</si>
  <si>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</si>
  <si>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</si>
  <si>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</si>
  <si>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</si>
  <si>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</si>
  <si>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</si>
  <si>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</si>
  <si>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</si>
  <si>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</si>
  <si>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</si>
  <si>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</si>
  <si>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</si>
  <si>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</si>
  <si>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</si>
  <si>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</si>
  <si>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</si>
  <si>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</si>
  <si>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</si>
  <si>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</si>
  <si>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</si>
  <si>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</si>
  <si>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</si>
  <si>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</si>
  <si>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</si>
  <si>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</si>
  <si>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</si>
  <si>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</si>
  <si>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</si>
  <si>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</si>
  <si>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</si>
  <si>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</si>
  <si>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</si>
  <si>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</si>
  <si>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</si>
  <si>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</si>
  <si>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</si>
  <si>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</si>
  <si>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</si>
  <si>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</si>
  <si>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</si>
  <si>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</si>
  <si>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</si>
  <si>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</si>
  <si>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</si>
  <si>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</si>
  <si>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</si>
  <si>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</si>
  <si>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</si>
  <si>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</si>
  <si>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</si>
  <si>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</si>
  <si>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</si>
  <si>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</si>
  <si>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</si>
  <si>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</si>
  <si>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</si>
  <si>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</si>
  <si>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</si>
  <si>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</si>
  <si>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</si>
  <si>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</si>
  <si>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</si>
  <si>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</si>
  <si>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</si>
  <si>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</si>
  <si>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</si>
  <si>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</si>
  <si>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</si>
  <si>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</si>
  <si>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</si>
  <si>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</si>
  <si>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</si>
  <si>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</si>
  <si>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</si>
  <si>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</si>
  <si>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</si>
  <si>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</si>
  <si>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</si>
  <si>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</si>
  <si>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</si>
  <si>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</si>
  <si>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</si>
  <si>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</si>
  <si>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</si>
  <si>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</si>
  <si>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</si>
  <si>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</si>
  <si>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</si>
  <si>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</si>
  <si>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</si>
  <si>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</si>
  <si>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</si>
  <si>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</si>
  <si>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</si>
  <si>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</si>
  <si>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</si>
  <si>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</si>
  <si>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</si>
  <si>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</si>
  <si>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</si>
  <si>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</si>
  <si>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</si>
  <si>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</si>
  <si>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</si>
  <si>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</si>
  <si>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</si>
  <si>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</si>
  <si>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</si>
  <si>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</si>
  <si>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</si>
  <si>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</si>
  <si>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</si>
  <si>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</si>
  <si>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</si>
  <si>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</si>
  <si>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</si>
  <si>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</si>
  <si>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</si>
  <si>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</si>
  <si>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</si>
  <si>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</si>
  <si>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</si>
  <si>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</si>
  <si>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</si>
  <si>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</si>
  <si>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</si>
  <si>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</si>
  <si>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</si>
  <si>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</si>
  <si>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</si>
  <si>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</si>
  <si>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</si>
  <si>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</si>
  <si>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</si>
  <si>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</si>
  <si>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</si>
  <si>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</si>
  <si>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</si>
  <si>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</si>
  <si>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</si>
  <si>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</si>
  <si>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</si>
  <si>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</si>
  <si>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</si>
  <si>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</si>
  <si>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</si>
  <si>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</si>
  <si>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</si>
  <si>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</si>
  <si>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</si>
  <si>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</si>
  <si>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</si>
  <si>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</si>
  <si>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</si>
  <si>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</si>
  <si>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</si>
  <si>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</si>
  <si>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</si>
  <si>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</si>
  <si>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</si>
  <si>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</si>
  <si>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</si>
  <si>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</si>
  <si>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</si>
  <si>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</si>
  <si>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</si>
  <si>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</si>
  <si>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</si>
  <si>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</si>
  <si>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</si>
  <si>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</si>
  <si>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</si>
  <si>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</si>
  <si>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</si>
  <si>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</si>
  <si>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</si>
  <si>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</si>
  <si>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</si>
  <si>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</si>
  <si>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</si>
  <si>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</si>
  <si>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</si>
  <si>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</si>
  <si>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</si>
  <si>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</si>
  <si>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</si>
  <si>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</si>
  <si>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</si>
  <si>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</si>
  <si>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</si>
  <si>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</si>
  <si>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</si>
  <si>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</si>
  <si>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</si>
  <si>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</si>
  <si>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</si>
  <si>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</si>
  <si>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</si>
  <si>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</si>
  <si>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</si>
  <si>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</si>
  <si>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</si>
  <si>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</si>
  <si>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</si>
  <si>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</si>
  <si>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</si>
  <si>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</si>
  <si>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</si>
  <si>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</si>
  <si>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</si>
  <si>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</si>
  <si>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</si>
  <si>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</si>
  <si>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</si>
  <si>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</si>
  <si>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</si>
  <si>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</si>
  <si>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</si>
  <si>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</si>
  <si>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</si>
  <si>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</si>
  <si>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</si>
  <si>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</si>
  <si>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</si>
  <si>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</si>
  <si>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</si>
  <si>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</si>
  <si>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</si>
  <si>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</si>
  <si>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</si>
  <si>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</si>
  <si>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</si>
  <si>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</si>
  <si>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</si>
  <si>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</si>
  <si>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</si>
  <si>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</si>
  <si>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</si>
  <si>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</si>
  <si>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</si>
  <si>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</si>
  <si>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</si>
  <si>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</si>
  <si>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</si>
  <si>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</si>
  <si>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</si>
  <si>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</si>
  <si>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</si>
  <si>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</si>
  <si>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</si>
  <si>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</si>
  <si>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</si>
  <si>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</si>
  <si>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</si>
  <si>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</si>
  <si>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</si>
  <si>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</si>
  <si>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</si>
  <si>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</si>
  <si>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</si>
  <si>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</si>
  <si>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</si>
  <si>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</si>
  <si>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</si>
  <si>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</si>
  <si>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</si>
  <si>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</si>
  <si>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</si>
  <si>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</si>
  <si>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</si>
  <si>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</si>
  <si>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</si>
  <si>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</si>
  <si>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</si>
  <si>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</si>
  <si>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</si>
  <si>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</si>
  <si>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</si>
  <si>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</si>
  <si>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</si>
  <si>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</si>
  <si>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</si>
  <si>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</si>
  <si>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</si>
  <si>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</si>
  <si>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</si>
  <si>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</si>
  <si>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</si>
  <si>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</si>
  <si>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</si>
  <si>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</si>
  <si>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</si>
  <si>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</si>
  <si>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</si>
  <si>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</si>
  <si>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</si>
  <si>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</si>
  <si>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</si>
  <si>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</si>
  <si>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</si>
  <si>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</si>
  <si>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</si>
  <si>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</si>
  <si>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</si>
  <si>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</si>
  <si>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</si>
  <si>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</si>
  <si>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</si>
  <si>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</si>
  <si>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</si>
  <si>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</si>
  <si>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</si>
  <si>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</si>
  <si>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</si>
  <si>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</si>
  <si>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</si>
  <si>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</si>
  <si>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</si>
  <si>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</si>
  <si>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</si>
  <si>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</si>
  <si>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</si>
  <si>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</si>
  <si>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</si>
  <si>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</si>
  <si>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</si>
  <si>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</si>
  <si>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</si>
  <si>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</si>
  <si>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</si>
  <si>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</si>
  <si>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</si>
  <si>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</si>
  <si>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</si>
  <si>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</si>
  <si>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</si>
  <si>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</si>
  <si>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</si>
  <si>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</si>
  <si>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</si>
  <si>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</si>
  <si>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</si>
  <si>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</si>
  <si>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</si>
  <si>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</si>
  <si>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</si>
  <si>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</si>
  <si>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</si>
  <si>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</si>
  <si>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</si>
  <si>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</si>
  <si>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</si>
  <si>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</si>
  <si>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</si>
  <si>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</si>
  <si>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</si>
  <si>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</si>
  <si>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</si>
  <si>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</si>
  <si>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</si>
  <si>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</si>
  <si>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</si>
  <si>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</si>
  <si>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</si>
  <si>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</si>
  <si>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</si>
  <si>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</si>
  <si>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</si>
  <si>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</si>
  <si>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</si>
  <si>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</si>
  <si>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</si>
  <si>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</si>
  <si>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</si>
  <si>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</si>
  <si>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</si>
  <si>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</si>
  <si>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</si>
  <si>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</si>
  <si>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</si>
  <si>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</si>
  <si>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</si>
  <si>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</si>
  <si>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</si>
  <si>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</si>
  <si>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</si>
  <si>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</si>
  <si>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</si>
  <si>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</si>
  <si>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</si>
  <si>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</si>
  <si>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</si>
  <si>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</si>
  <si>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</si>
  <si>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</si>
  <si>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</si>
  <si>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</si>
  <si>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</si>
  <si>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</si>
  <si>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</si>
  <si>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</si>
  <si>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</si>
  <si>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</si>
  <si>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</si>
  <si>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</si>
  <si>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</si>
  <si>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</si>
  <si>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</si>
  <si>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</si>
  <si>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</si>
  <si>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</si>
  <si>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</si>
  <si>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</si>
  <si>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</si>
  <si>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</si>
  <si>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</si>
  <si>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</si>
  <si>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</si>
  <si>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</si>
  <si>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</si>
  <si>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</si>
  <si>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</si>
  <si>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</si>
  <si>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</si>
  <si>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</si>
  <si>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</si>
  <si>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</si>
  <si>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</si>
  <si>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</si>
  <si>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</si>
  <si>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</si>
  <si>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</si>
  <si>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</si>
  <si>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</si>
  <si>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</si>
  <si>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</si>
  <si>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</si>
  <si>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</si>
  <si>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</si>
  <si>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</si>
  <si>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</si>
  <si>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</si>
  <si>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</si>
  <si>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</si>
  <si>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</si>
  <si>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</si>
  <si>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</si>
  <si>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</si>
  <si>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</si>
  <si>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</si>
  <si>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</si>
  <si>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</si>
  <si>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</si>
  <si>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</si>
  <si>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</si>
  <si>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</si>
  <si>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</si>
  <si>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</si>
  <si>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</si>
  <si>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</si>
  <si>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</si>
  <si>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</si>
  <si>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</si>
  <si>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</si>
  <si>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</si>
  <si>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</si>
  <si>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</si>
  <si>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</si>
  <si>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</si>
  <si>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</si>
  <si>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</si>
  <si>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</si>
  <si>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</si>
  <si>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</si>
  <si>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</si>
  <si>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</si>
  <si>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</si>
  <si>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</si>
  <si>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</si>
  <si>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</si>
  <si>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</si>
  <si>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</si>
  <si>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</si>
  <si>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</si>
  <si>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</si>
  <si>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</si>
  <si>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</si>
  <si>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</si>
  <si>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</si>
  <si>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</si>
  <si>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</si>
  <si>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</si>
  <si>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</si>
  <si>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</si>
  <si>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</si>
  <si>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</si>
  <si>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</si>
  <si>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</si>
  <si>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</si>
  <si>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</si>
  <si>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</si>
  <si>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</si>
  <si>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</si>
  <si>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</si>
  <si>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</si>
  <si>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</si>
  <si>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</si>
  <si>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</si>
  <si>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</si>
  <si>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</si>
  <si>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</si>
  <si>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</si>
  <si>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</si>
  <si>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</si>
  <si>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</si>
  <si>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</si>
  <si>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</si>
  <si>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</si>
  <si>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</si>
  <si>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</si>
  <si>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</si>
  <si>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</si>
  <si>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</si>
  <si>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</si>
  <si>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</si>
  <si>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</si>
  <si>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</si>
  <si>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</si>
  <si>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</si>
  <si>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</si>
  <si>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</si>
  <si>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</si>
  <si>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</si>
  <si>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</si>
  <si>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</si>
  <si>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</si>
  <si>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</si>
  <si>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</si>
  <si>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</si>
  <si>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</si>
  <si>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</si>
  <si>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</si>
  <si>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</si>
  <si>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</si>
  <si>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</si>
  <si>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</si>
  <si>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</si>
  <si>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</si>
  <si>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</si>
  <si>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</si>
  <si>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</si>
  <si>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</si>
  <si>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</si>
  <si>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</si>
  <si>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</si>
  <si>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</si>
  <si>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</si>
  <si>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</si>
  <si>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</si>
  <si>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</si>
  <si>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</si>
  <si>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</si>
  <si>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</si>
  <si>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</si>
  <si>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</si>
  <si>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</si>
  <si>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</si>
  <si>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</si>
  <si>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</si>
  <si>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</si>
  <si>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</si>
  <si>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</si>
  <si>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</si>
  <si>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</si>
  <si>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</si>
  <si>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</si>
  <si>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</si>
  <si>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</si>
  <si>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</si>
  <si>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</si>
  <si>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</si>
  <si>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</si>
  <si>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</si>
  <si>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</si>
  <si>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</si>
  <si>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</si>
  <si>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</si>
  <si>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</si>
  <si>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</si>
  <si>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</si>
  <si>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</si>
  <si>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</si>
  <si>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</si>
  <si>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</si>
  <si>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</si>
  <si>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</si>
  <si>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</si>
  <si>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</si>
  <si>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</si>
  <si>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</si>
  <si>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</si>
  <si>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</si>
  <si>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</si>
  <si>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</si>
  <si>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</si>
  <si>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</si>
  <si>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</si>
  <si>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</si>
  <si>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</si>
  <si>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</si>
  <si>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</si>
  <si>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</si>
  <si>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</si>
  <si>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</si>
  <si>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</si>
  <si>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</si>
  <si>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</si>
  <si>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</si>
  <si>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</si>
  <si>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</si>
  <si>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</si>
  <si>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</si>
  <si>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</si>
  <si>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</si>
  <si>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</si>
  <si>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</si>
  <si>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</si>
  <si>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</si>
  <si>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</si>
  <si>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</si>
  <si>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</si>
  <si>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</si>
  <si>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</si>
  <si>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</si>
  <si>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</si>
  <si>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</si>
  <si>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</si>
  <si>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</si>
  <si>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</si>
  <si>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</si>
  <si>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</si>
  <si>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</si>
  <si>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</si>
  <si>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</si>
  <si>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</si>
  <si>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</si>
  <si>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</si>
  <si>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</si>
  <si>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</si>
  <si>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</si>
  <si>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</si>
  <si>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</si>
  <si>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</si>
  <si>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</si>
  <si>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</si>
  <si>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</si>
  <si>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</si>
  <si>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</si>
  <si>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</si>
  <si>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</si>
  <si>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</si>
  <si>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</si>
  <si>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</si>
  <si>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</si>
  <si>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</si>
  <si>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</si>
  <si>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</si>
  <si>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</si>
  <si>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</si>
  <si>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</si>
  <si>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</si>
  <si>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</si>
  <si>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</si>
  <si>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</si>
  <si>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</si>
  <si>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</si>
  <si>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</si>
  <si>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</si>
  <si>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</si>
  <si>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</si>
  <si>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</si>
  <si>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</si>
  <si>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</si>
  <si>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</si>
  <si>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</si>
  <si>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</si>
  <si>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</si>
  <si>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</si>
  <si>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</si>
  <si>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</si>
  <si>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</si>
  <si>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</si>
  <si>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</si>
  <si>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</si>
  <si>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</si>
  <si>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</si>
  <si>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</si>
  <si>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</si>
  <si>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</si>
  <si>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</si>
  <si>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</si>
  <si>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</si>
  <si>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</si>
  <si>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</si>
  <si>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</si>
  <si>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</si>
  <si>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</si>
  <si>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</si>
  <si>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</si>
  <si>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</si>
  <si>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</si>
  <si>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</si>
  <si>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</si>
  <si>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</si>
  <si>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</si>
  <si>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</si>
  <si>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</si>
  <si>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</si>
  <si>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</si>
  <si>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</si>
  <si>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</si>
  <si>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</si>
  <si>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</si>
  <si>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</si>
  <si>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</si>
  <si>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</si>
  <si>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</si>
  <si>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</si>
  <si>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</si>
  <si>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</si>
  <si>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</si>
  <si>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</si>
  <si>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</si>
  <si>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</si>
  <si>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</si>
  <si>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</si>
  <si>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</si>
  <si>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</si>
  <si>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</si>
  <si>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</si>
  <si>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</si>
  <si>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</si>
  <si>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</si>
  <si>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</si>
  <si>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</si>
  <si>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</si>
  <si>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</si>
  <si>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</si>
  <si>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</si>
  <si>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</si>
  <si>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</si>
  <si>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</si>
  <si>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</si>
  <si>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</si>
  <si>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</si>
  <si>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</si>
  <si>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</si>
  <si>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</si>
  <si>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</si>
  <si>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</si>
  <si>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</si>
  <si>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</si>
  <si>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</si>
  <si>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</si>
  <si>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</si>
  <si>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</si>
  <si>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</si>
  <si>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</si>
  <si>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</si>
  <si>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</si>
  <si>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</si>
  <si>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</si>
  <si>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</si>
  <si>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</si>
  <si>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</si>
  <si>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</si>
  <si>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</si>
  <si>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</si>
  <si>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</si>
  <si>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</si>
  <si>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</si>
  <si>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</si>
  <si>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</si>
  <si>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</si>
  <si>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</si>
  <si>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</si>
  <si>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</si>
  <si>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</si>
  <si>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</si>
  <si>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</si>
  <si>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</si>
  <si>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</si>
  <si>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</si>
  <si>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</si>
  <si>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</si>
  <si>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</si>
  <si>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</si>
  <si>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</si>
  <si>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</si>
  <si>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</si>
  <si>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</si>
  <si>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</si>
  <si>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</si>
  <si>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</si>
  <si>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</si>
  <si>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</si>
  <si>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</si>
  <si>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</si>
  <si>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</si>
  <si>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</si>
  <si>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</si>
  <si>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</si>
  <si>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</si>
  <si>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</si>
  <si>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</si>
  <si>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</si>
  <si>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</si>
  <si>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</si>
  <si>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</si>
  <si>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</si>
  <si>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</si>
  <si>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</si>
  <si>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</si>
  <si>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</si>
  <si>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</si>
  <si>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</si>
  <si>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</si>
  <si>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</si>
  <si>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</si>
  <si>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</si>
  <si>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</si>
  <si>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</si>
  <si>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</si>
  <si>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</si>
  <si>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</si>
  <si>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</si>
  <si>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</si>
  <si>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</si>
  <si>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</si>
  <si>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</si>
  <si>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</si>
  <si>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</si>
  <si>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</si>
  <si>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</si>
  <si>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</si>
  <si>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</si>
  <si>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</si>
  <si>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</si>
  <si>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</si>
  <si>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</si>
  <si>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</si>
  <si>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</si>
  <si>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</si>
  <si>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</si>
  <si>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</si>
  <si>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</si>
  <si>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</si>
  <si>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</si>
  <si>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</si>
  <si>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</si>
  <si>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</si>
  <si>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</si>
  <si>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</si>
  <si>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</si>
  <si>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</si>
  <si>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</si>
  <si>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</si>
  <si>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</si>
  <si>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</si>
  <si>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</si>
  <si>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</si>
  <si>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</si>
  <si>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</si>
  <si>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</si>
  <si>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</si>
  <si>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</si>
  <si>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</si>
  <si>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</si>
  <si>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</si>
  <si>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</si>
  <si>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</si>
  <si>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</si>
  <si>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</si>
  <si>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</si>
  <si>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</si>
  <si>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</si>
  <si>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</si>
  <si>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</si>
  <si>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</si>
  <si>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</si>
  <si>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</si>
  <si>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</si>
  <si>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</si>
  <si>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</si>
  <si>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</si>
  <si>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</si>
  <si>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</si>
  <si>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</si>
  <si>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</si>
  <si>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</si>
  <si>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</si>
  <si>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</si>
  <si>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</si>
  <si>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</si>
  <si>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</si>
  <si>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</si>
  <si>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</si>
  <si>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</si>
  <si>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</si>
  <si>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</si>
  <si>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</si>
  <si>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</si>
  <si>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</si>
  <si>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</si>
  <si>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</si>
  <si>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</si>
  <si>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</si>
  <si>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</si>
  <si>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</si>
  <si>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</si>
  <si>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</si>
  <si>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</si>
  <si>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</si>
  <si>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</si>
  <si>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</si>
  <si>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</si>
  <si>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</si>
  <si>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</si>
  <si>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</si>
  <si>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</si>
  <si>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</si>
  <si>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</si>
  <si>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</si>
  <si>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</si>
  <si>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</si>
  <si>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</si>
  <si>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</si>
  <si>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</si>
  <si>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</si>
  <si>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</si>
  <si>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</si>
  <si>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</si>
  <si>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</si>
  <si>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</si>
  <si>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</si>
  <si>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</si>
  <si>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</si>
  <si>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</si>
  <si>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</si>
  <si>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</si>
  <si>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</si>
  <si>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</si>
  <si>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</si>
  <si>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</si>
  <si>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</si>
  <si>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</si>
  <si>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</si>
  <si>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</si>
  <si>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</si>
  <si>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</si>
  <si>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</si>
  <si>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</si>
  <si>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</si>
  <si>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</si>
  <si>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</si>
  <si>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</si>
  <si>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</si>
  <si>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</si>
  <si>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</si>
  <si>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</si>
  <si>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</si>
  <si>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</si>
  <si>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</si>
  <si>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</si>
  <si>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</si>
  <si>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</si>
  <si>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</si>
  <si>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</si>
  <si>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</si>
  <si>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</si>
  <si>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</si>
  <si>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</si>
  <si>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</si>
  <si>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</si>
  <si>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</si>
  <si>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</si>
  <si>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</si>
  <si>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</si>
  <si>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</si>
  <si>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</si>
  <si>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</si>
  <si>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</si>
  <si>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</si>
  <si>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</si>
  <si>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</si>
  <si>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</si>
  <si>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</si>
  <si>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</si>
  <si>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</si>
  <si>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</si>
  <si>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</si>
  <si>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</si>
  <si>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</si>
  <si>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</si>
  <si>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</si>
  <si>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</si>
  <si>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</si>
  <si>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</si>
  <si>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</si>
  <si>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</si>
  <si>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</si>
  <si>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</si>
  <si>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</si>
  <si>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</si>
  <si>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</si>
  <si>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</si>
  <si>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</si>
  <si>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</si>
  <si>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</si>
  <si>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</si>
  <si>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</si>
  <si>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</si>
  <si>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</si>
  <si>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</si>
  <si>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</si>
  <si>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</si>
  <si>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</si>
  <si>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</si>
  <si>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</si>
  <si>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</si>
  <si>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</si>
  <si>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</si>
  <si>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</si>
  <si>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</si>
  <si>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</si>
  <si>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</si>
  <si>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</si>
  <si>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</si>
  <si>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</si>
  <si>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</si>
  <si>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</si>
  <si>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</si>
  <si>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</si>
  <si>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</si>
  <si>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</si>
  <si>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</si>
  <si>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</si>
  <si>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</si>
  <si>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</si>
  <si>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</si>
  <si>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</si>
  <si>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</si>
  <si>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</si>
  <si>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</si>
  <si>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</si>
  <si>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</si>
  <si>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</si>
  <si>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</si>
  <si>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</si>
  <si>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</si>
  <si>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</si>
  <si>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</si>
  <si>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</si>
  <si>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</si>
  <si>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</si>
  <si>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</si>
  <si>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</si>
  <si>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</si>
  <si>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</si>
  <si>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</si>
  <si>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</si>
  <si>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</si>
  <si>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</si>
  <si>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</si>
  <si>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</si>
  <si>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</si>
  <si>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</si>
  <si>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</si>
  <si>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</si>
  <si>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</si>
  <si>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</si>
  <si>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</si>
  <si>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</si>
  <si>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</si>
  <si>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</si>
  <si>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</si>
  <si>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</si>
  <si>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</si>
  <si>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</si>
  <si>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</si>
  <si>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</si>
  <si>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</si>
  <si>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</si>
  <si>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</si>
  <si>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</si>
  <si>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</si>
  <si>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</si>
  <si>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</si>
  <si>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</si>
  <si>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</si>
  <si>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</si>
  <si>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</si>
  <si>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</si>
  <si>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</si>
  <si>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</si>
  <si>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</si>
  <si>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</si>
  <si>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</si>
  <si>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</si>
  <si>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</si>
  <si>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</si>
  <si>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</si>
  <si>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</si>
  <si>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</si>
  <si>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</si>
  <si>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</si>
  <si>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</si>
  <si>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</si>
  <si>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</si>
  <si>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</si>
  <si>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</si>
  <si>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</si>
  <si>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</si>
  <si>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</si>
  <si>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</si>
  <si>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</si>
  <si>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</si>
  <si>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</si>
  <si>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</si>
  <si>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</si>
  <si>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</si>
  <si>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</si>
  <si>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</si>
  <si>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</si>
  <si>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</si>
  <si>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</si>
  <si>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</si>
  <si>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</si>
  <si>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</si>
  <si>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</si>
  <si>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</si>
  <si>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</si>
  <si>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</si>
  <si>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</si>
  <si>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</si>
  <si>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</si>
  <si>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</si>
  <si>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</si>
  <si>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</si>
  <si>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</si>
  <si>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</si>
  <si>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</si>
  <si>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</si>
  <si>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</si>
  <si>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</si>
  <si>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</si>
  <si>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</si>
  <si>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</si>
  <si>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</si>
  <si>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</si>
  <si>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</si>
  <si>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</si>
  <si>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</si>
  <si>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</si>
  <si>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</si>
  <si>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</si>
  <si>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</si>
  <si>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</si>
  <si>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</si>
  <si>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</si>
  <si>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</si>
  <si>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</si>
  <si>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</si>
  <si>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</si>
  <si>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</si>
  <si>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</si>
  <si>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</si>
  <si>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</si>
  <si>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</si>
  <si>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</si>
  <si>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</si>
  <si>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</si>
  <si>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</si>
  <si>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</si>
  <si>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</si>
  <si>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</si>
  <si>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</si>
  <si>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</si>
  <si>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</si>
  <si>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</si>
  <si>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</si>
  <si>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</si>
  <si>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</si>
  <si>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</si>
  <si>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</si>
  <si>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</si>
  <si>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</si>
  <si>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</si>
  <si>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</si>
  <si>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</si>
  <si>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</si>
  <si>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</si>
  <si>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</si>
  <si>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</si>
  <si>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</si>
  <si>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</si>
  <si>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</si>
  <si>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</si>
  <si>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</si>
  <si>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</si>
  <si>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</si>
  <si>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</si>
  <si>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</si>
  <si>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</si>
  <si>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</si>
  <si>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</si>
  <si>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</si>
  <si>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</si>
  <si>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</si>
  <si>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</si>
  <si>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</si>
  <si>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</si>
  <si>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</si>
  <si>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</si>
  <si>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</si>
  <si>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</si>
  <si>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</si>
  <si>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</si>
  <si>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</si>
  <si>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</si>
  <si>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</si>
  <si>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</si>
  <si>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</si>
  <si>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</si>
  <si>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</si>
  <si>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</si>
  <si>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</si>
  <si>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</si>
  <si>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</si>
  <si>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</si>
  <si>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</si>
  <si>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</si>
  <si>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</si>
  <si>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</si>
  <si>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</si>
  <si>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</si>
  <si>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</si>
  <si>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</si>
  <si>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</si>
  <si>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</si>
  <si>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</si>
  <si>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</si>
  <si>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</si>
  <si>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</si>
  <si>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</si>
  <si>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</si>
  <si>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</si>
  <si>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</si>
  <si>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</si>
  <si>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</si>
  <si>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</si>
  <si>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</si>
  <si>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</si>
  <si>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</si>
  <si>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</si>
  <si>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</si>
  <si>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</si>
  <si>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</si>
  <si>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</si>
  <si>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</si>
  <si>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</si>
  <si>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</si>
  <si>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</si>
  <si>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</si>
  <si>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</si>
  <si>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</si>
  <si>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</si>
  <si>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</si>
  <si>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</si>
  <si>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</si>
  <si>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</si>
  <si>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</si>
  <si>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</si>
  <si>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</si>
  <si>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</si>
  <si>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</si>
  <si>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</si>
  <si>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</si>
  <si>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</si>
  <si>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</si>
  <si>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</si>
  <si>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</si>
  <si>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</si>
  <si>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</si>
  <si>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</si>
  <si>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</si>
  <si>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</si>
  <si>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</si>
  <si>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</si>
  <si>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</si>
  <si>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</si>
  <si>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</si>
  <si>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</si>
  <si>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</si>
  <si>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</si>
  <si>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</si>
  <si>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</si>
  <si>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</si>
  <si>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</si>
  <si>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</si>
  <si>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</si>
  <si>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</si>
  <si>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</si>
  <si>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</si>
  <si>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</si>
  <si>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</si>
  <si>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</si>
  <si>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</si>
  <si>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</si>
  <si>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</si>
  <si>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</si>
  <si>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</si>
  <si>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</si>
  <si>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</si>
  <si>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</si>
  <si>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</si>
  <si>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</si>
  <si>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</si>
  <si>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</si>
  <si>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</si>
  <si>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</si>
  <si>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</si>
  <si>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</si>
  <si>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</si>
  <si>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</si>
  <si>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</si>
  <si>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</si>
  <si>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</si>
  <si>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</si>
  <si>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</si>
  <si>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</si>
  <si>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</si>
  <si>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</si>
  <si>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</si>
  <si>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</si>
  <si>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</si>
  <si>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</si>
  <si>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</si>
  <si>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</si>
  <si>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</si>
  <si>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</si>
  <si>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</si>
  <si>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</si>
  <si>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</si>
  <si>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</si>
  <si>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</si>
  <si>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</si>
  <si>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</si>
  <si>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</si>
  <si>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</si>
  <si>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</si>
  <si>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</si>
  <si>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</si>
  <si>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</si>
  <si>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</si>
  <si>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</si>
  <si>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</si>
  <si>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</si>
  <si>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</si>
  <si>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</si>
  <si>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</si>
  <si>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</si>
  <si>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</si>
  <si>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</si>
  <si>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</si>
  <si>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</si>
  <si>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</si>
  <si>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</si>
  <si>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</si>
  <si>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</si>
  <si>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</si>
  <si>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</si>
  <si>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</si>
  <si>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</si>
  <si>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</si>
  <si>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</si>
  <si>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</si>
  <si>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</si>
  <si>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</si>
  <si>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</si>
  <si>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</si>
  <si>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</si>
  <si>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</si>
  <si>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</si>
  <si>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</si>
  <si>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</si>
  <si>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</si>
  <si>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</si>
  <si>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</si>
  <si>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</si>
  <si>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</si>
  <si>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</si>
  <si>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</si>
  <si>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</si>
  <si>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</si>
  <si>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</si>
  <si>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</si>
  <si>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</si>
  <si>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</si>
  <si>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</si>
  <si>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</si>
  <si>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</si>
  <si>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</si>
  <si>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</si>
  <si>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</si>
  <si>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</si>
  <si>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</si>
  <si>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</si>
  <si>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</si>
  <si>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</si>
  <si>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</si>
  <si>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RIVIERE DE L'AUROUE</t>
  </si>
  <si>
    <t xml:space="preserve">L'AUROUE EN AMONT DE L'ISLE-BOUZON</t>
  </si>
  <si>
    <t xml:space="preserve">05116650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</si>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</sst>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11.1428571428571</v>
      </c>
      <c r="N5" s="324"/>
      <c r="O5" s="325" t="s">
        <v>309</v>
      </c>
      <c r="P5" s="326" t="n">
        <v>10.4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3</v>
      </c>
      <c r="P6" s="338" t="s">
        <v>3392</v>
      </c>
      <c r="Q6" s="339"/>
      <c r="R6" s="281"/>
      <c r="S6" s="281"/>
      <c r="T6" s="281"/>
      <c r="U6" s="281"/>
      <c r="V6" s="281"/>
      <c r="W6" s="295"/>
      <c r="X6" s="0"/>
      <c r="Y6" s="0"/>
      <c r="Z6" s="0"/>
    </row>
    <row r="7" customFormat="false" ht="12.75" hidden="false" customHeight="false" outlineLevel="0" collapsed="false">
      <c r="A7" s="340" t="s">
        <v>3393</v>
      </c>
      <c r="B7" s="341" t="n">
        <v>3</v>
      </c>
      <c r="C7" s="342" t="n">
        <v>97</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10.25</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21</v>
      </c>
      <c r="C9" s="359" t="n">
        <v>0.1</v>
      </c>
      <c r="D9" s="360"/>
      <c r="E9" s="360"/>
      <c r="F9" s="361" t="n">
        <f aca="false">($B9*$B$7+$C9*$C$7)/100</f>
        <v>0.727</v>
      </c>
      <c r="G9" s="362"/>
      <c r="H9" s="317"/>
      <c r="I9" s="281"/>
      <c r="J9" s="363"/>
      <c r="K9" s="364"/>
      <c r="L9" s="347"/>
      <c r="M9" s="365"/>
      <c r="N9" s="355" t="s">
        <v>3400</v>
      </c>
      <c r="O9" s="356" t="n">
        <f aca="false">IF(ISERROR(STDEVP(J23:J82))," ",STDEVP(J23:J82))</f>
        <v>3.63145976158349</v>
      </c>
      <c r="P9" s="356" t="n">
        <f aca="false">IF(ISERROR(STDEVP(K23:K82)),"  ",STDEVP(K23:K82))</f>
        <v>0.5</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2</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1</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21.005</v>
      </c>
      <c r="C20" s="433" t="n">
        <f aca="false">SUM(C23:C82)</f>
        <v>0.115</v>
      </c>
      <c r="D20" s="434"/>
      <c r="E20" s="435" t="s">
        <v>3425</v>
      </c>
      <c r="F20" s="436" t="n">
        <f aca="false">($B20*$B$7+$C20*$C$7)/100</f>
        <v>0.7417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0.63015</v>
      </c>
      <c r="C21" s="444" t="n">
        <f aca="false">C20*C7/100</f>
        <v>0.11155</v>
      </c>
      <c r="D21" s="445" t="s">
        <v>3428</v>
      </c>
      <c r="E21" s="446"/>
      <c r="F21" s="447" t="n">
        <f aca="false">B21+C21</f>
        <v>0.7417</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309</v>
      </c>
      <c r="B23" s="472" t="n">
        <v>0.005</v>
      </c>
      <c r="C23" s="473" t="n">
        <v>0.1</v>
      </c>
      <c r="D23" s="474" t="str">
        <f aca="false">IF(ISERROR(VLOOKUP($A23,'liste reference'!$A$6:$B$1174,2,0)),IF(ISERROR(VLOOKUP($A23,'liste reference'!$B$6:$B$1174,1,0)),"",VLOOKUP($A23,'liste reference'!$B$6:$B$1174,1,0)),VLOOKUP($A23,'liste reference'!$A$6:$B$1174,2,0))</f>
        <v>Phormidium sp.</v>
      </c>
      <c r="E23" s="475" t="e">
        <f aca="false">IF(D23="",0,VLOOKUP(D23,D$22:D22,1,0))</f>
        <v>#N/A</v>
      </c>
      <c r="F23" s="476" t="n">
        <f aca="false">IF(AND(OR(A23="",A23="!!!!!!"),B23="",C23=""),"",IF(OR(AND(B23="",C23=""),ISERROR(C23+B23)),"!!!",($B23*$B$7+$C23*$C$7)/100))</f>
        <v>0.09715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Phormidium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6414</v>
      </c>
      <c r="R23" s="484" t="n">
        <f aca="false">IF(ISTEXT(H23),"",(B23*$B$7/100)+(C23*$C$7/100))</f>
        <v>0.09715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PHOSPX</v>
      </c>
      <c r="Z23" s="470" t="n">
        <f aca="false">IF(ISERROR(MATCH(A23,'liste reference'!$A$6:$A$1174,0)),IF(ISERROR(MATCH(A23,'liste reference'!$B$6:$B$1174,0)),"",(MATCH(A23,'liste reference'!$B$6:$B$1174,0))),(MATCH(A23,'liste reference'!$A$6:$A$1174,0)))</f>
        <v>88</v>
      </c>
    </row>
    <row r="24" customFormat="false" ht="12.75" hidden="false" customHeight="false" outlineLevel="0" collapsed="false">
      <c r="A24" s="489" t="s">
        <v>395</v>
      </c>
      <c r="B24" s="490"/>
      <c r="C24" s="491" t="n">
        <v>0.005</v>
      </c>
      <c r="D24" s="492" t="str">
        <f aca="false">IF(ISERROR(VLOOKUP($A24,'liste reference'!$A$6:$B$1174,2,0)),IF(ISERROR(VLOOKUP($A24,'liste reference'!$B$6:$B$1174,1,0)),"",VLOOKUP($A24,'liste reference'!$B$6:$B$1174,1,0)),VLOOKUP($A24,'liste reference'!$A$6:$B$1174,2,0))</f>
        <v>Vaucheria sp.</v>
      </c>
      <c r="E24" s="493" t="e">
        <f aca="false">IF(D24="",0,VLOOKUP(D24,D$22:D23,1,0))</f>
        <v>#N/A</v>
      </c>
      <c r="F24" s="494" t="n">
        <f aca="false">IF(AND(OR(A24="",A24="!!!!!!"),B24="",C24=""),"",IF(OR(AND(B24="",C24=""),ISERROR(C24+B24)),"!!!",($B24*$B$7+$C24*$C$7)/100))</f>
        <v>0.00485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4</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Vaucheria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1169</v>
      </c>
      <c r="R24" s="484" t="n">
        <f aca="false">IF(ISTEXT(H24),"",(B24*$B$7/100)+(C24*$C$7/100))</f>
        <v>0.00485</v>
      </c>
      <c r="S24" s="485" t="n">
        <f aca="false">IF(OR(ISTEXT(H24),R24=0),"",IF(R24&lt;0.1,1,IF(R24&lt;1,2,IF(R24&lt;10,3,IF(R24&lt;50,4,IF(R24&gt;=50,5,""))))))</f>
        <v>1</v>
      </c>
      <c r="T24" s="485" t="n">
        <f aca="false">IF(ISERROR(S24*J24),0,S24*J24)</f>
        <v>4</v>
      </c>
      <c r="U24" s="485" t="n">
        <f aca="false">IF(ISERROR(S24*J24*K24),0,S24*J24*K24)</f>
        <v>4</v>
      </c>
      <c r="V24" s="501" t="n">
        <f aca="false">IF(ISERROR(S24*K24),0,S24*K24)</f>
        <v>1</v>
      </c>
      <c r="W24" s="502"/>
      <c r="X24" s="503"/>
      <c r="Y24" s="488" t="str">
        <f aca="false">IF(AND(ISNUMBER(F24),OR(A24="",A24="!!!!!!")),"!!!!!!",IF(A24="new.cod","NEWCOD",IF(AND((Z24=""),ISTEXT(A24),A24&lt;&gt;"!!!!!!"),A24,IF(Z24="","",INDEX('liste reference'!$A$6:$A$1174,Z24)))))</f>
        <v>VAUSPX</v>
      </c>
      <c r="Z24" s="470" t="n">
        <f aca="false">IF(ISERROR(MATCH(A24,'liste reference'!$A$6:$A$1174,0)),IF(ISERROR(MATCH(A24,'liste reference'!$B$6:$B$1174,0)),"",(MATCH(A24,'liste reference'!$B$6:$B$1174,0))),(MATCH(A24,'liste reference'!$A$6:$A$1174,0)))</f>
        <v>118</v>
      </c>
    </row>
    <row r="25" customFormat="false" ht="12.75" hidden="false" customHeight="false" outlineLevel="0" collapsed="false">
      <c r="A25" s="489" t="s">
        <v>830</v>
      </c>
      <c r="B25" s="490" t="n">
        <v>1</v>
      </c>
      <c r="C25" s="491" t="n">
        <v>0.005</v>
      </c>
      <c r="D25" s="492" t="str">
        <f aca="false">IF(ISERROR(VLOOKUP($A25,'liste reference'!$A$6:$B$1174,2,0)),IF(ISERROR(VLOOKUP($A25,'liste reference'!$B$6:$B$1174,1,0)),"",VLOOKUP($A25,'liste reference'!$B$6:$B$1174,1,0)),VLOOKUP($A25,'liste reference'!$A$6:$B$1174,2,0))</f>
        <v>Fissidens crassipes</v>
      </c>
      <c r="E25" s="493" t="e">
        <f aca="false">IF(D25="",0,VLOOKUP(D25,D$22:D24,1,0))</f>
        <v>#N/A</v>
      </c>
      <c r="F25" s="494" t="n">
        <f aca="false">IF(AND(OR(A25="",A25="!!!!!!"),B25="",C25=""),"",IF(OR(AND(B25="",C25=""),ISERROR(C25+B25)),"!!!",($B25*$B$7+$C25*$C$7)/100))</f>
        <v>0.03485</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Fissidens crassipes</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1294</v>
      </c>
      <c r="R25" s="484" t="n">
        <f aca="false">IF(ISTEXT(H25),"",(B25*$B$7/100)+(C25*$C$7/100))</f>
        <v>0.03485</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FISCRA</v>
      </c>
      <c r="Z25" s="470" t="n">
        <f aca="false">IF(ISERROR(MATCH(A25,'liste reference'!$A$6:$A$1174,0)),IF(ISERROR(MATCH(A25,'liste reference'!$B$6:$B$1174,0)),"",(MATCH(A25,'liste reference'!$B$6:$B$1174,0))),(MATCH(A25,'liste reference'!$A$6:$A$1174,0)))</f>
        <v>255</v>
      </c>
    </row>
    <row r="26" customFormat="false" ht="12.75" hidden="false" customHeight="false" outlineLevel="0" collapsed="false">
      <c r="A26" s="489" t="s">
        <v>1122</v>
      </c>
      <c r="B26" s="490" t="n">
        <v>20</v>
      </c>
      <c r="C26" s="491" t="n">
        <v>0.005</v>
      </c>
      <c r="D26" s="492" t="str">
        <f aca="false">IF(ISERROR(VLOOKUP($A26,'liste reference'!$A$6:$B$1174,2,0)),IF(ISERROR(VLOOKUP($A26,'liste reference'!$B$6:$B$1174,1,0)),"",VLOOKUP($A26,'liste reference'!$B$6:$B$1174,1,0)),VLOOKUP($A26,'liste reference'!$A$6:$B$1174,2,0))</f>
        <v>Rhynchostegium riparioides</v>
      </c>
      <c r="E26" s="493" t="e">
        <f aca="false">IF(D26="",0,VLOOKUP(D26,D$22:D25,1,0))</f>
        <v>#N/A</v>
      </c>
      <c r="F26" s="494" t="n">
        <f aca="false">IF(AND(OR(A26="",A26="!!!!!!"),B26="",C26=""),"",IF(OR(AND(B26="",C26=""),ISERROR(C26+B26)),"!!!",($B26*$B$7+$C26*$C$7)/100))</f>
        <v>0.60485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Rhynchostegium riparioides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31691</v>
      </c>
      <c r="R26" s="484" t="n">
        <f aca="false">IF(ISTEXT(H26),"",(B26*$B$7/100)+(C26*$C$7/100))</f>
        <v>0.60485</v>
      </c>
      <c r="S26" s="485" t="n">
        <f aca="false">IF(OR(ISTEXT(H26),R26=0),"",IF(R26&lt;0.1,1,IF(R26&lt;1,2,IF(R26&lt;10,3,IF(R26&lt;50,4,IF(R26&gt;=50,5,""))))))</f>
        <v>2</v>
      </c>
      <c r="T26" s="485" t="n">
        <f aca="false">IF(ISERROR(S26*J26),0,S26*J26)</f>
        <v>24</v>
      </c>
      <c r="U26" s="485" t="n">
        <f aca="false">IF(ISERROR(S26*J26*K26),0,S26*J26*K26)</f>
        <v>24</v>
      </c>
      <c r="V26" s="501" t="n">
        <f aca="false">IF(ISERROR(S26*K26),0,S26*K26)</f>
        <v>2</v>
      </c>
      <c r="W26" s="502"/>
      <c r="X26" s="503"/>
      <c r="Y26" s="488" t="str">
        <f aca="false">IF(AND(ISNUMBER(F26),OR(A26="",A26="!!!!!!")),"!!!!!!",IF(A26="new.cod","NEWCOD",IF(AND((Z26=""),ISTEXT(A26),A26&lt;&gt;"!!!!!!"),A26,IF(Z26="","",INDEX('liste reference'!$A$6:$A$1174,Z26)))))</f>
        <v>RHYRIP</v>
      </c>
      <c r="Z26" s="470" t="n">
        <f aca="false">IF(ISERROR(MATCH(A26,'liste reference'!$A$6:$A$1174,0)),IF(ISERROR(MATCH(A26,'liste reference'!$B$6:$B$1174,0)),"",(MATCH(A26,'liste reference'!$B$6:$B$1174,0))),(MATCH(A26,'liste reference'!$A$6:$A$1174,0)))</f>
        <v>345</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0.7417</v>
      </c>
      <c r="G83" s="424"/>
      <c r="H83" s="424"/>
      <c r="I83" s="424"/>
      <c r="J83" s="424"/>
      <c r="K83" s="424"/>
      <c r="L83" s="424"/>
      <c r="M83" s="485"/>
      <c r="N83" s="485"/>
      <c r="O83" s="485"/>
      <c r="P83" s="485"/>
      <c r="Q83" s="485"/>
      <c r="R83" s="485"/>
      <c r="S83" s="485"/>
      <c r="T83" s="485"/>
      <c r="U83" s="485"/>
      <c r="V83" s="485" t="n">
        <f aca="false">SUM(V23:V82)</f>
        <v>7</v>
      </c>
      <c r="W83" s="485"/>
      <c r="X83" s="523"/>
      <c r="Y83" s="523"/>
      <c r="Z83" s="524"/>
    </row>
    <row r="84" customFormat="false" ht="12.75" hidden="true" customHeight="false" outlineLevel="0" collapsed="false">
      <c r="A84" s="518" t="str">
        <f aca="false">A3</f>
        <v>RIVIERE DE L'AUROUE</v>
      </c>
      <c r="B84" s="453" t="str">
        <f aca="false">C3</f>
        <v>L'AUROUE EN AMONT DE L'ISLE-BOUZON</v>
      </c>
      <c r="C84" s="525" t="str">
        <f aca="false">A4</f>
        <v>(Date)</v>
      </c>
      <c r="D84" s="526" t="n">
        <f aca="false">IF(OR(ISERROR(SUM($U$23:$U$82)/SUM($V$23:$V$82)),F7&lt;&gt;100),-1,SUM($U$23:$U$82)/SUM($V$23:$V$82))</f>
        <v>11.1428571428571</v>
      </c>
      <c r="E84" s="527" t="n">
        <f aca="false">O13</f>
        <v>4</v>
      </c>
      <c r="F84" s="453" t="n">
        <f aca="false">O14</f>
        <v>4</v>
      </c>
      <c r="G84" s="453" t="n">
        <f aca="false">O15</f>
        <v>2</v>
      </c>
      <c r="H84" s="453" t="n">
        <f aca="false">O16</f>
        <v>2</v>
      </c>
      <c r="I84" s="453" t="n">
        <f aca="false">O17</f>
        <v>0</v>
      </c>
      <c r="J84" s="528" t="n">
        <f aca="false">O8</f>
        <v>10.25</v>
      </c>
      <c r="K84" s="529" t="n">
        <f aca="false">O9</f>
        <v>3.63145976158349</v>
      </c>
      <c r="L84" s="530" t="n">
        <f aca="false">O10</f>
        <v>4</v>
      </c>
      <c r="M84" s="530" t="n">
        <f aca="false">O11</f>
        <v>13</v>
      </c>
      <c r="N84" s="529" t="n">
        <f aca="false">P8</f>
        <v>1.5</v>
      </c>
      <c r="O84" s="529" t="n">
        <f aca="false">P9</f>
        <v>0.5</v>
      </c>
      <c r="P84" s="530" t="n">
        <f aca="false">P10</f>
        <v>1</v>
      </c>
      <c r="Q84" s="530" t="n">
        <f aca="false">P11</f>
        <v>2</v>
      </c>
      <c r="R84" s="530" t="n">
        <f aca="false">F21</f>
        <v>0.7417</v>
      </c>
      <c r="S84" s="530" t="n">
        <f aca="false">L11</f>
        <v>0</v>
      </c>
      <c r="T84" s="530" t="n">
        <f aca="false">L12</f>
        <v>2</v>
      </c>
      <c r="U84" s="530" t="n">
        <f aca="false">L13</f>
        <v>2</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13</v>
      </c>
      <c r="U87" s="281"/>
      <c r="V87" s="281"/>
    </row>
    <row r="88" customFormat="false" ht="12.75" hidden="true" customHeight="false" outlineLevel="0" collapsed="false">
      <c r="C88" s="534"/>
      <c r="D88" s="534"/>
      <c r="E88" s="534"/>
      <c r="R88" s="281" t="s">
        <v>3451</v>
      </c>
      <c r="S88" s="281"/>
      <c r="T88" s="536" t="n">
        <f aca="false">VLOOKUP($T$91,($A$23:$U$82),21,0)</f>
        <v>26</v>
      </c>
      <c r="U88" s="281"/>
      <c r="V88" s="281" t="n">
        <f aca="false">COUNTIF(V23:V82,T89)</f>
        <v>3</v>
      </c>
    </row>
    <row r="89" customFormat="false" ht="12.75" hidden="true" customHeight="false" outlineLevel="0" collapsed="false">
      <c r="C89" s="534"/>
      <c r="D89" s="534"/>
      <c r="E89" s="534"/>
      <c r="R89" s="281" t="s">
        <v>3452</v>
      </c>
      <c r="S89" s="281"/>
      <c r="T89" s="536" t="n">
        <f aca="false">MAX($V$23:$V$82)</f>
        <v>2</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10.4</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2017-02-20T09:33:21Z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