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0085" sheetId="6" state="visible" r:id="rId8"/>
    <sheet name="jgjg" sheetId="7" state="hidden" r:id="rId9"/>
    <sheet name="liste codes réf" sheetId="8" state="hidden" r:id="rId10"/>
  </sheets>
  <definedNames>
    <definedName function="false" hidden="false" localSheetId="5" name="_xlnm.Print_Area" vbProcedure="false">'05120085'!$A$1:$Q$82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'05120085'!$A$1:$Q$82</definedName>
    <definedName function="false" hidden="false" localSheetId="5" name="_xlnm__FilterDatabase" vbProcedure="false">'05120085'!$A$1:$C$1415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<sst xmlns="http://schemas.openxmlformats.org/spreadsheetml/2006/main" count="8841" uniqueCount="3497">
  <si>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</si>
  <si>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</si>
  <si>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</si>
  <si>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</si>
  <si>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</si>
  <si>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</si>
  <si>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</si>
  <si>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</si>
  <si>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</si>
  <si>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</si>
  <si>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</si>
  <si>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</si>
  <si>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</si>
  <si>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</si>
  <si>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</si>
  <si>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</si>
  <si>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</si>
  <si>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</si>
  <si>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</si>
  <si>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</si>
  <si>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</si>
  <si>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</si>
  <si>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</si>
  <si>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</si>
  <si>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</si>
  <si>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</si>
  <si>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</si>
  <si>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</si>
  <si>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</si>
  <si>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</si>
  <si>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</si>
  <si>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</si>
  <si>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</si>
  <si>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</si>
  <si>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</si>
  <si>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</si>
  <si>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</si>
  <si>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</si>
  <si>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</si>
  <si>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</si>
  <si>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</si>
  <si>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</si>
  <si>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</si>
  <si>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</si>
  <si>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</si>
  <si>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</si>
  <si>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</si>
  <si>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</si>
  <si>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</si>
  <si>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</si>
  <si>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</si>
  <si>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</si>
  <si>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</si>
  <si>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</si>
  <si>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</si>
  <si>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</si>
  <si>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</si>
  <si>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</si>
  <si>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</si>
  <si>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</si>
  <si>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</si>
  <si>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</si>
  <si>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</si>
  <si>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</si>
  <si>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</si>
  <si>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</si>
  <si>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</si>
  <si>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</si>
  <si>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</si>
  <si>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</si>
  <si>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</si>
  <si>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</si>
  <si>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</si>
  <si>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</si>
  <si>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</si>
  <si>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</si>
  <si>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</si>
  <si>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</si>
  <si>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</si>
  <si>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</si>
  <si>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</si>
  <si>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</si>
  <si>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</si>
  <si>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</si>
  <si>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</si>
  <si>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</si>
  <si>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</si>
  <si>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</si>
  <si>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</si>
  <si>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</si>
  <si>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</si>
  <si>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</si>
  <si>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</si>
  <si>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</si>
  <si>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</si>
  <si>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</si>
  <si>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</si>
  <si>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</si>
  <si>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</si>
  <si>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</si>
  <si>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</si>
  <si>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</si>
  <si>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</si>
  <si>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</si>
  <si>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</si>
  <si>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</si>
  <si>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</si>
  <si>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</si>
  <si>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</si>
  <si>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</si>
  <si>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</si>
  <si>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</si>
  <si>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</si>
  <si>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</si>
  <si>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</si>
  <si>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</si>
  <si>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</si>
  <si>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</si>
  <si>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</si>
  <si>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</si>
  <si>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</si>
  <si>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</si>
  <si>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</si>
  <si>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</si>
  <si>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</si>
  <si>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</si>
  <si>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</si>
  <si>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</si>
  <si>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</si>
  <si>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</si>
  <si>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</si>
  <si>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</si>
  <si>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</si>
  <si>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</si>
  <si>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</si>
  <si>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</si>
  <si>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</si>
  <si>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</si>
  <si>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</si>
  <si>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</si>
  <si>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</si>
  <si>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</si>
  <si>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</si>
  <si>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</si>
  <si>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</si>
  <si>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</si>
  <si>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</si>
  <si>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</si>
  <si>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</si>
  <si>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</si>
  <si>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</si>
  <si>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</si>
  <si>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</si>
  <si>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</si>
  <si>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</si>
  <si>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</si>
  <si>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</si>
  <si>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</si>
  <si>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</si>
  <si>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</si>
  <si>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</si>
  <si>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</si>
  <si>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</si>
  <si>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</si>
  <si>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</si>
  <si>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</si>
  <si>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</si>
  <si>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</si>
  <si>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</si>
  <si>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</si>
  <si>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</si>
  <si>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</si>
  <si>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</si>
  <si>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</si>
  <si>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</si>
  <si>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</si>
  <si>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</si>
  <si>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</si>
  <si>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</si>
  <si>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</si>
  <si>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</si>
  <si>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</si>
  <si>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</si>
  <si>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</si>
  <si>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</si>
  <si>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</si>
  <si>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</si>
  <si>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</si>
  <si>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</si>
  <si>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</si>
  <si>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</si>
  <si>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</si>
  <si>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</si>
  <si>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</si>
  <si>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</si>
  <si>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</si>
  <si>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</si>
  <si>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</si>
  <si>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</si>
  <si>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</si>
  <si>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</si>
  <si>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</si>
  <si>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</si>
  <si>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</si>
  <si>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</si>
  <si>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</si>
  <si>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</si>
  <si>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</si>
  <si>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</si>
  <si>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</si>
  <si>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</si>
  <si>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</si>
  <si>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</si>
  <si>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</si>
  <si>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</si>
  <si>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</si>
  <si>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</si>
  <si>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</si>
  <si>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</si>
  <si>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</si>
  <si>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</si>
  <si>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</si>
  <si>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</si>
  <si>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</si>
  <si>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</si>
  <si>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</si>
  <si>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</si>
  <si>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</si>
  <si>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</si>
  <si>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</si>
  <si>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</si>
  <si>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</si>
  <si>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</si>
  <si>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</si>
  <si>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</si>
  <si>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</si>
  <si>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</si>
  <si>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</si>
  <si>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</si>
  <si>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</si>
  <si>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</si>
  <si>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</si>
  <si>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</si>
  <si>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</si>
  <si>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</si>
  <si>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</si>
  <si>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</si>
  <si>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</si>
  <si>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</si>
  <si>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</si>
  <si>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</si>
  <si>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</si>
  <si>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</si>
  <si>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</si>
  <si>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</si>
  <si>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</si>
  <si>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</si>
  <si>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</si>
  <si>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</si>
  <si>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</si>
  <si>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</si>
  <si>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</si>
  <si>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</si>
  <si>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</si>
  <si>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</si>
  <si>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</si>
  <si>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</si>
  <si>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</si>
  <si>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</si>
  <si>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</si>
  <si>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</si>
  <si>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</si>
  <si>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</si>
  <si>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</si>
  <si>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</si>
  <si>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</si>
  <si>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</si>
  <si>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</si>
  <si>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</si>
  <si>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</si>
  <si>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</si>
  <si>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</si>
  <si>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</si>
  <si>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</si>
  <si>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</si>
  <si>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</si>
  <si>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</si>
  <si>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</si>
  <si>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</si>
  <si>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</si>
  <si>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</si>
  <si>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</si>
  <si>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</si>
  <si>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</si>
  <si>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</si>
  <si>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</si>
  <si>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</si>
  <si>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</si>
  <si>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</si>
  <si>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</si>
  <si>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</si>
  <si>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</si>
  <si>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</si>
  <si>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</si>
  <si>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</si>
  <si>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</si>
  <si>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</si>
  <si>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</si>
  <si>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</si>
  <si>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</si>
  <si>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</si>
  <si>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</si>
  <si>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</si>
  <si>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</si>
  <si>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</si>
  <si>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</si>
  <si>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</si>
  <si>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</si>
  <si>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</si>
  <si>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</si>
  <si>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</si>
  <si>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</si>
  <si>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</si>
  <si>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</si>
  <si>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</si>
  <si>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</si>
  <si>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</si>
  <si>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</si>
  <si>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</si>
  <si>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</si>
  <si>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</si>
  <si>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</si>
  <si>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</si>
  <si>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</si>
  <si>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</si>
  <si>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</si>
  <si>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</si>
  <si>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</si>
  <si>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</si>
  <si>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</si>
  <si>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</si>
  <si>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</si>
  <si>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</si>
  <si>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</si>
  <si>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</si>
  <si>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</si>
  <si>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</si>
  <si>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</si>
  <si>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</si>
  <si>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</si>
  <si>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</si>
  <si>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</si>
  <si>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</si>
  <si>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</si>
  <si>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</si>
  <si>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</si>
  <si>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</si>
  <si>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</si>
  <si>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</si>
  <si>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</si>
  <si>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</si>
  <si>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</si>
  <si>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</si>
  <si>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</si>
  <si>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</si>
  <si>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</si>
  <si>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</si>
  <si>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</si>
  <si>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</si>
  <si>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</si>
  <si>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</si>
  <si>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</si>
  <si>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</si>
  <si>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</si>
  <si>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</si>
  <si>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</si>
  <si>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</si>
  <si>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</si>
  <si>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</si>
  <si>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</si>
  <si>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</si>
  <si>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</si>
  <si>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</si>
  <si>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</si>
  <si>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</si>
  <si>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</si>
  <si>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</si>
  <si>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</si>
  <si>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</si>
  <si>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</si>
  <si>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</si>
  <si>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</si>
  <si>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</si>
  <si>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</si>
  <si>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</si>
  <si>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</si>
  <si>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</si>
  <si>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</si>
  <si>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</si>
  <si>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</si>
  <si>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</si>
  <si>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</si>
  <si>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</si>
  <si>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</si>
  <si>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</si>
  <si>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</si>
  <si>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</si>
  <si>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</si>
  <si>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</si>
  <si>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</si>
  <si>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</si>
  <si>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</si>
  <si>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</si>
  <si>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</si>
  <si>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</si>
  <si>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</si>
  <si>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</si>
  <si>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</si>
  <si>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</si>
  <si>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</si>
  <si>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</si>
  <si>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</si>
  <si>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</si>
  <si>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</si>
  <si>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</si>
  <si>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</si>
  <si>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</si>
  <si>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</si>
  <si>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</si>
  <si>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</si>
  <si>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</si>
  <si>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</si>
  <si>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</si>
  <si>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</si>
  <si>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</si>
  <si>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</si>
  <si>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</si>
  <si>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</si>
  <si>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</si>
  <si>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</si>
  <si>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</si>
  <si>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</si>
  <si>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</si>
  <si>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</si>
  <si>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</si>
  <si>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</si>
  <si>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</si>
  <si>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</si>
  <si>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</si>
  <si>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</si>
  <si>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</si>
  <si>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</si>
  <si>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</si>
  <si>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</si>
  <si>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</si>
  <si>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</si>
  <si>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</si>
  <si>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</si>
  <si>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</si>
  <si>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</si>
  <si>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</si>
  <si>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</si>
  <si>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</si>
  <si>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</si>
  <si>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</si>
  <si>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</si>
  <si>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</si>
  <si>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</si>
  <si>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</si>
  <si>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</si>
  <si>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</si>
  <si>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</si>
  <si>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</si>
  <si>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</si>
  <si>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</si>
  <si>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</si>
  <si>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</si>
  <si>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</si>
  <si>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</si>
  <si>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</si>
  <si>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</si>
  <si>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</si>
  <si>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</si>
  <si>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</si>
  <si>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</si>
  <si>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</si>
  <si>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</si>
  <si>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</si>
  <si>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</si>
  <si>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</si>
  <si>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</si>
  <si>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</si>
  <si>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</si>
  <si>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</si>
  <si>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</si>
  <si>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</si>
  <si>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</si>
  <si>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</si>
  <si>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</si>
  <si>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</si>
  <si>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</si>
  <si>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</si>
  <si>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</si>
  <si>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</si>
  <si>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</si>
  <si>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</si>
  <si>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</si>
  <si>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</si>
  <si>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</si>
  <si>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</si>
  <si>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</si>
  <si>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</si>
  <si>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</si>
  <si>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</si>
  <si>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</si>
  <si>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</si>
  <si>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</si>
  <si>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</si>
  <si>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</si>
  <si>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</si>
  <si>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</si>
  <si>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</si>
  <si>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</si>
  <si>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</si>
  <si>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</si>
  <si>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</si>
  <si>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</si>
  <si>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</si>
  <si>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</si>
  <si>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</si>
  <si>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</si>
  <si>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</si>
  <si>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</si>
  <si>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</si>
  <si>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</si>
  <si>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</si>
  <si>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</si>
  <si>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</si>
  <si>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</si>
  <si>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</si>
  <si>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</si>
  <si>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</si>
  <si>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</si>
  <si>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</si>
  <si>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</si>
  <si>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</si>
  <si>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</si>
  <si>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</si>
  <si>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</si>
  <si>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</si>
  <si>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</si>
  <si>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</si>
  <si>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</si>
  <si>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</si>
  <si>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</si>
  <si>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</si>
  <si>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</si>
  <si>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</si>
  <si>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</si>
  <si>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</si>
  <si>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</si>
  <si>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</si>
  <si>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</si>
  <si>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</si>
  <si>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</si>
  <si>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</si>
  <si>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</si>
  <si>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</si>
  <si>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</si>
  <si>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</si>
  <si>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</si>
  <si>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</si>
  <si>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</si>
  <si>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</si>
  <si>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</si>
  <si>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</si>
  <si>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</si>
  <si>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</si>
  <si>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</si>
  <si>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</si>
  <si>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</si>
  <si>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</si>
  <si>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</si>
  <si>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</si>
  <si>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</si>
  <si>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</si>
  <si>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</si>
  <si>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</si>
  <si>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</si>
  <si>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</si>
  <si>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</si>
  <si>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</si>
  <si>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</si>
  <si>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</si>
  <si>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</si>
  <si>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</si>
  <si>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</si>
  <si>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</si>
  <si>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</si>
  <si>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</si>
  <si>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</si>
  <si>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</si>
  <si>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</si>
  <si>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</si>
  <si>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</si>
  <si>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</si>
  <si>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</si>
  <si>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</si>
  <si>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</si>
  <si>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</si>
  <si>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</si>
  <si>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</si>
  <si>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</si>
  <si>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</si>
  <si>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</si>
  <si>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</si>
  <si>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</si>
  <si>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</si>
  <si>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</si>
  <si>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</si>
  <si>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</si>
  <si>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</si>
  <si>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</si>
  <si>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</si>
  <si>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</si>
  <si>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</si>
  <si>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</si>
  <si>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</si>
  <si>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</si>
  <si>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</si>
  <si>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</si>
  <si>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</si>
  <si>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</si>
  <si>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</si>
  <si>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</si>
  <si>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</si>
  <si>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</si>
  <si>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</si>
  <si>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</si>
  <si>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</si>
  <si>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</si>
  <si>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</si>
  <si>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</si>
  <si>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</si>
  <si>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</si>
  <si>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</si>
  <si>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</si>
  <si>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</si>
  <si>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</si>
  <si>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</si>
  <si>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</si>
  <si>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</si>
  <si>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</si>
  <si>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</si>
  <si>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</si>
  <si>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</si>
  <si>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</si>
  <si>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</si>
  <si>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</si>
  <si>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</si>
  <si>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</si>
  <si>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</si>
  <si>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</si>
  <si>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</si>
  <si>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</si>
  <si>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</si>
  <si>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</si>
  <si>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</si>
  <si>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</si>
  <si>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</si>
  <si>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</si>
  <si>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</si>
  <si>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</si>
  <si>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</si>
  <si>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</si>
  <si>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</si>
  <si>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</si>
  <si>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</si>
  <si>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</si>
  <si>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</si>
  <si>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</si>
  <si>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</si>
  <si>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</si>
  <si>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</si>
  <si>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</si>
  <si>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</si>
  <si>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</si>
  <si>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</si>
  <si>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</si>
  <si>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</si>
  <si>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</si>
  <si>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</si>
  <si>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</si>
  <si>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</si>
  <si>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</si>
  <si>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</si>
  <si>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</si>
  <si>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</si>
  <si>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</si>
  <si>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</si>
  <si>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</si>
  <si>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</si>
  <si>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</si>
  <si>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</si>
  <si>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</si>
  <si>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</si>
  <si>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</si>
  <si>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</si>
  <si>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</si>
  <si>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</si>
  <si>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</si>
  <si>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</si>
  <si>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</si>
  <si>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</si>
  <si>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</si>
  <si>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</si>
  <si>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</si>
  <si>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</si>
  <si>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</si>
  <si>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</si>
  <si>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</si>
  <si>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</si>
  <si>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</si>
  <si>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</si>
  <si>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</si>
  <si>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</si>
  <si>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</si>
  <si>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</si>
  <si>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</si>
  <si>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</si>
  <si>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</si>
  <si>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</si>
  <si>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</si>
  <si>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</si>
  <si>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</si>
  <si>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</si>
  <si>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</si>
  <si>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</si>
  <si>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</si>
  <si>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</si>
  <si>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</si>
  <si>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</si>
  <si>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</si>
  <si>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</si>
  <si>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</si>
  <si>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</si>
  <si>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</si>
  <si>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</si>
  <si>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</si>
  <si>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</si>
  <si>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</si>
  <si>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</si>
  <si>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</si>
  <si>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</si>
  <si>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</si>
  <si>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</si>
  <si>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</si>
  <si>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</si>
  <si>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</si>
  <si>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</si>
  <si>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</si>
  <si>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</si>
  <si>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</si>
  <si>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</si>
  <si>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</si>
  <si>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</si>
  <si>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</si>
  <si>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</si>
  <si>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</si>
  <si>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</si>
  <si>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</si>
  <si>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</si>
  <si>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</si>
  <si>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</si>
  <si>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</si>
  <si>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</si>
  <si>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</si>
  <si>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</si>
  <si>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</si>
  <si>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</si>
  <si>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</si>
  <si>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</si>
  <si>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</si>
  <si>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</si>
  <si>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</si>
  <si>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</si>
  <si>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</si>
  <si>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</si>
  <si>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</si>
  <si>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</si>
  <si>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</si>
  <si>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</si>
  <si>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</si>
  <si>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</si>
  <si>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</si>
  <si>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</si>
  <si>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</si>
  <si>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</si>
  <si>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</si>
  <si>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</si>
  <si>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</si>
  <si>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</si>
  <si>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</si>
  <si>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</si>
  <si>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</si>
  <si>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</si>
  <si>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</si>
  <si>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</si>
  <si>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</si>
  <si>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</si>
  <si>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</si>
  <si>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</si>
  <si>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</si>
  <si>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</si>
  <si>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</si>
  <si>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</si>
  <si>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</si>
  <si>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</si>
  <si>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</si>
  <si>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</si>
  <si>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</si>
  <si>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</si>
  <si>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</si>
  <si>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</si>
  <si>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</si>
  <si>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</si>
  <si>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</si>
  <si>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</si>
  <si>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</si>
  <si>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</si>
  <si>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</si>
  <si>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</si>
  <si>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</si>
  <si>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</si>
  <si>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</si>
  <si>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</si>
  <si>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</si>
  <si>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</si>
  <si>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</si>
  <si>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</si>
  <si>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</si>
  <si>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</si>
  <si>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</si>
  <si>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</si>
  <si>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</si>
  <si>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</si>
  <si>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</si>
  <si>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</si>
  <si>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</si>
  <si>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</si>
  <si>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</si>
  <si>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</si>
  <si>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</si>
  <si>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</si>
  <si>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</si>
  <si>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</si>
  <si>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</si>
  <si>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</si>
  <si>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</si>
  <si>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</si>
  <si>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</si>
  <si>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</si>
  <si>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</si>
  <si>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</si>
  <si>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</si>
  <si>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</si>
  <si>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</si>
  <si>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</si>
  <si>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</si>
  <si>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</si>
  <si>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</si>
  <si>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</si>
  <si>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</si>
  <si>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</si>
  <si>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</si>
  <si>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</si>
  <si>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</si>
  <si>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</si>
  <si>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</si>
  <si>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</si>
  <si>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</si>
  <si>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</si>
  <si>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</si>
  <si>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</si>
  <si>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</si>
  <si>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</si>
  <si>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</si>
  <si>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</si>
  <si>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</si>
  <si>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</si>
  <si>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</si>
  <si>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</si>
  <si>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</si>
  <si>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</si>
  <si>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</si>
  <si>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</si>
  <si>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</si>
  <si>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</si>
  <si>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</si>
  <si>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</si>
  <si>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</si>
  <si>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</si>
  <si>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</si>
  <si>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</si>
  <si>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</si>
  <si>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</si>
  <si>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</si>
  <si>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</si>
  <si>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</si>
  <si>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</si>
  <si>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</si>
  <si>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</si>
  <si>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</si>
  <si>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</si>
  <si>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</si>
  <si>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</si>
  <si>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</si>
  <si>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</si>
  <si>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</si>
  <si>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</si>
  <si>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</si>
  <si>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</si>
  <si>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</si>
  <si>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</si>
  <si>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</si>
  <si>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</si>
  <si>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</si>
  <si>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</si>
  <si>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</si>
  <si>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</si>
  <si>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</si>
  <si>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</si>
  <si>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</si>
  <si>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</si>
  <si>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</si>
  <si>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</si>
  <si>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</si>
  <si>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</si>
  <si>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</si>
  <si>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</si>
  <si>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</si>
  <si>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</si>
  <si>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</si>
  <si>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</si>
  <si>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</si>
  <si>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</si>
  <si>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</si>
  <si>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</si>
  <si>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</si>
  <si>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</si>
  <si>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</si>
  <si>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</si>
  <si>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</si>
  <si>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</si>
  <si>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</si>
  <si>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</si>
  <si>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</si>
  <si>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</si>
  <si>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</si>
  <si>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</si>
  <si>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</si>
  <si>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</si>
  <si>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</si>
  <si>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</si>
  <si>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</si>
  <si>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</si>
  <si>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</si>
  <si>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</si>
  <si>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</si>
  <si>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</si>
  <si>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</si>
  <si>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</si>
  <si>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</si>
  <si>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</si>
  <si>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</si>
  <si>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</si>
  <si>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</si>
  <si>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</si>
  <si>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</si>
  <si>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</si>
  <si>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</si>
  <si>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</si>
  <si>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</si>
  <si>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</si>
  <si>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</si>
  <si>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</si>
  <si>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</si>
  <si>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</si>
  <si>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</si>
  <si>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</si>
  <si>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</si>
  <si>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</si>
  <si>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</si>
  <si>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</si>
  <si>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</si>
  <si>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</si>
  <si>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</si>
  <si>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</si>
  <si>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</si>
  <si>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</si>
  <si>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</si>
  <si>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</si>
  <si>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</si>
  <si>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</si>
  <si>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</si>
  <si>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</si>
  <si>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</si>
  <si>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</si>
  <si>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</si>
  <si>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</si>
  <si>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</si>
  <si>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</si>
  <si>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</si>
  <si>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</si>
  <si>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</si>
  <si>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</si>
  <si>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</si>
  <si>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</si>
  <si>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</si>
  <si>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</si>
  <si>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</si>
  <si>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</si>
  <si>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</si>
  <si>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</si>
  <si>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</si>
  <si>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</si>
  <si>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</si>
  <si>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</si>
  <si>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</si>
  <si>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</si>
  <si>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</si>
  <si>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</si>
  <si>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</si>
  <si>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</si>
  <si>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</si>
  <si>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</si>
  <si>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</si>
  <si>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</si>
  <si>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</si>
  <si>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</si>
  <si>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</si>
  <si>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</si>
  <si>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</si>
  <si>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</si>
  <si>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</si>
  <si>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</si>
  <si>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</si>
  <si>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</si>
  <si>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</si>
  <si>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</si>
  <si>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</si>
  <si>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</si>
  <si>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</si>
  <si>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</si>
  <si>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</si>
  <si>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</si>
  <si>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</si>
  <si>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</si>
  <si>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</si>
  <si>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</si>
  <si>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</si>
  <si>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</si>
  <si>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</si>
  <si>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</si>
  <si>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</si>
  <si>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</si>
  <si>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</si>
  <si>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</si>
  <si>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</si>
  <si>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</si>
  <si>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</si>
  <si>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</si>
  <si>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</si>
  <si>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</si>
  <si>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</si>
  <si>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</si>
  <si>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</si>
  <si>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</si>
  <si>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</si>
  <si>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</si>
  <si>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</si>
  <si>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</si>
  <si>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</si>
  <si>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</si>
  <si>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</si>
  <si>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</si>
  <si>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</si>
  <si>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</si>
  <si>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</si>
  <si>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</si>
  <si>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</si>
  <si>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</si>
  <si>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</si>
  <si>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</si>
  <si>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</si>
  <si>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</si>
  <si>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</si>
  <si>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</si>
  <si>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</si>
  <si>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</si>
  <si>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</si>
  <si>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</si>
  <si>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</si>
  <si>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</si>
  <si>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</si>
  <si>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</si>
  <si>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</si>
  <si>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</si>
  <si>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</si>
  <si>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</si>
  <si>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</si>
  <si>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</si>
  <si>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</si>
  <si>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</si>
  <si>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</si>
  <si>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</si>
  <si>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</si>
  <si>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</si>
  <si>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</si>
  <si>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</si>
  <si>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</si>
  <si>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</si>
  <si>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</si>
  <si>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</si>
  <si>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</si>
  <si>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</si>
  <si>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</si>
  <si>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</si>
  <si>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</si>
  <si>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</si>
  <si>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</si>
  <si>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</si>
  <si>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</si>
  <si>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</si>
  <si>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</si>
  <si>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</si>
  <si>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</si>
  <si>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</si>
  <si>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</si>
  <si>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</si>
  <si>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</si>
  <si>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</si>
  <si>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</si>
  <si>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</si>
  <si>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</si>
  <si>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</si>
  <si>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</si>
  <si>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</si>
  <si>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</si>
  <si>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</si>
  <si>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</si>
  <si>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</si>
  <si>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</si>
  <si>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</si>
  <si>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</si>
  <si>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</si>
  <si>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</si>
  <si>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</si>
  <si>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</si>
  <si>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</si>
  <si>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</si>
  <si>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</si>
  <si>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</si>
  <si>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</si>
  <si>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</si>
  <si>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</si>
  <si>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</si>
  <si>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</si>
  <si>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</si>
  <si>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</si>
  <si>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</si>
  <si>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</si>
  <si>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</si>
  <si>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</si>
  <si>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</si>
  <si>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</si>
  <si>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</si>
  <si>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</si>
  <si>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</si>
  <si>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</si>
  <si>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</si>
  <si>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</si>
  <si>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</si>
  <si>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</si>
  <si>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</si>
  <si>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</si>
  <si>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</si>
  <si>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</si>
  <si>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</si>
  <si>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</si>
  <si>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</si>
  <si>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</si>
  <si>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</si>
  <si>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</si>
  <si>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</si>
  <si>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</si>
  <si>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</si>
  <si>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</si>
  <si>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</si>
  <si>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</si>
  <si>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</si>
  <si>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</si>
  <si>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</si>
  <si>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</si>
  <si>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</si>
  <si>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</si>
  <si>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</si>
  <si>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</si>
  <si>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</si>
  <si>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</si>
  <si>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</si>
  <si>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</si>
  <si>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</si>
  <si>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</si>
  <si>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</si>
  <si>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</si>
  <si>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</si>
  <si>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</si>
  <si>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</si>
  <si>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</si>
  <si>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</si>
  <si>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</si>
  <si>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</si>
  <si>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</si>
  <si>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</si>
  <si>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</si>
  <si>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</si>
  <si>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</si>
  <si>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</si>
  <si>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</si>
  <si>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</si>
  <si>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</si>
  <si>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</si>
  <si>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</si>
  <si>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</si>
  <si>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</si>
  <si>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</si>
  <si>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</si>
  <si>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</si>
  <si>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</si>
  <si>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</si>
  <si>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</si>
  <si>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</si>
  <si>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</si>
  <si>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</si>
  <si>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</si>
  <si>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</si>
  <si>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</si>
  <si>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</si>
  <si>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</si>
  <si>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</si>
  <si>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</si>
  <si>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</si>
  <si>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</si>
  <si>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</si>
  <si>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</si>
  <si>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</si>
  <si>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</si>
  <si>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</si>
  <si>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</si>
  <si>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</si>
  <si>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</si>
  <si>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</si>
  <si>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</si>
  <si>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</si>
  <si>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</si>
  <si>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</si>
  <si>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</si>
  <si>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</si>
  <si>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</si>
  <si>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</si>
  <si>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</si>
  <si>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</si>
  <si>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</si>
  <si>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</si>
  <si>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</si>
  <si>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</si>
  <si>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</si>
  <si>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</si>
  <si>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</si>
  <si>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</si>
  <si>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</si>
  <si>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</si>
  <si>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</si>
  <si>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</si>
  <si>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</si>
  <si>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</si>
  <si>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</si>
  <si>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</si>
  <si>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</si>
  <si>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</si>
  <si>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</si>
  <si>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</si>
  <si>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</si>
  <si>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</si>
  <si>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</si>
  <si>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</si>
  <si>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</si>
  <si>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</si>
  <si>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</si>
  <si>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</si>
  <si>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</si>
  <si>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</si>
  <si>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</si>
  <si>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</si>
  <si>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</si>
  <si>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</si>
  <si>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</si>
  <si>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</si>
  <si>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</si>
  <si>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</si>
  <si>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</si>
  <si>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</si>
  <si>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</si>
  <si>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</si>
  <si>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</si>
  <si>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</si>
  <si>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</si>
  <si>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</si>
  <si>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</si>
  <si>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</si>
  <si>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</si>
  <si>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</si>
  <si>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</si>
  <si>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</si>
  <si>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</si>
  <si>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</si>
  <si>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</si>
  <si>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</si>
  <si>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</si>
  <si>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</si>
  <si>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</si>
  <si>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</si>
  <si>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</si>
  <si>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</si>
  <si>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</si>
  <si>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</si>
  <si>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</si>
  <si>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</si>
  <si>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</si>
  <si>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</si>
  <si>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</si>
  <si>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</si>
  <si>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</si>
  <si>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</si>
  <si>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</si>
  <si>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</si>
  <si>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</si>
  <si>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</si>
  <si>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</si>
  <si>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</si>
  <si>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</si>
  <si>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</si>
  <si>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</si>
  <si>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</si>
  <si>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</si>
  <si>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</si>
  <si>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</si>
  <si>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</si>
  <si>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</si>
  <si>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</si>
  <si>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</si>
  <si>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</si>
  <si>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</si>
  <si>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</si>
  <si>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</si>
  <si>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</si>
  <si>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</si>
  <si>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</si>
  <si>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</si>
  <si>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</si>
  <si>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</si>
  <si>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</si>
  <si>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</si>
  <si>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</si>
  <si>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</si>
  <si>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</si>
  <si>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</si>
  <si>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</si>
  <si>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</si>
  <si>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</si>
  <si>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</si>
  <si>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</si>
  <si>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</si>
  <si>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</si>
  <si>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</si>
  <si>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</si>
  <si>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</si>
  <si>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</si>
  <si>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</si>
  <si>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</si>
  <si>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</si>
  <si>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</si>
  <si>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</si>
  <si>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</si>
  <si>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</si>
  <si>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</si>
  <si>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</si>
  <si>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</si>
  <si>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</si>
  <si>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</si>
  <si>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</si>
  <si>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</si>
  <si>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</si>
  <si>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</si>
  <si>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</si>
  <si>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</si>
  <si>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</si>
  <si>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</si>
  <si>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</si>
  <si>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</si>
  <si>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</si>
  <si>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</si>
  <si>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</si>
  <si>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</si>
  <si>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</si>
  <si>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</si>
  <si>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</si>
  <si>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</si>
  <si>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</si>
  <si>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</si>
  <si>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</si>
  <si>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</si>
  <si>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</si>
  <si>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</si>
  <si>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</si>
  <si>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</si>
  <si>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</si>
  <si>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</si>
  <si>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</si>
  <si>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</si>
  <si>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</si>
  <si>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</si>
  <si>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</si>
  <si>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</si>
  <si>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</si>
  <si>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</si>
  <si>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</si>
  <si>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</si>
  <si>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</si>
  <si>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</si>
  <si>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</si>
  <si>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</si>
  <si>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</si>
  <si>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</si>
  <si>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</si>
  <si>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</si>
  <si>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</si>
  <si>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</si>
  <si>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</si>
  <si>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</si>
  <si>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</si>
  <si>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</si>
  <si>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</si>
  <si>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</si>
  <si>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</si>
  <si>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</si>
  <si>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</si>
  <si>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</si>
  <si>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</si>
  <si>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</si>
  <si>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</si>
  <si>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</si>
  <si>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</si>
  <si>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</si>
  <si>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</si>
  <si>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</si>
  <si>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</si>
  <si>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</si>
  <si>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</si>
  <si>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</si>
  <si>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</si>
  <si>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</si>
  <si>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</si>
  <si>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</si>
  <si>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</si>
  <si>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</si>
  <si>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</si>
  <si>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</si>
  <si>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</si>
  <si>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</si>
  <si>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</si>
  <si>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</si>
  <si>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</si>
  <si>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</si>
  <si>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</si>
  <si>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</si>
  <si>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</si>
  <si>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</si>
  <si>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</si>
  <si>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</si>
  <si>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</si>
  <si>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</si>
  <si>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</si>
  <si>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</si>
  <si>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</si>
  <si>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</si>
  <si>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</si>
  <si>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</si>
  <si>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</si>
  <si>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</si>
  <si>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</si>
  <si>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</si>
  <si>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</si>
  <si>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</si>
  <si>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</si>
  <si>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</si>
  <si>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</si>
  <si>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</si>
  <si>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</si>
  <si>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</si>
  <si>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</si>
  <si>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</si>
  <si>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</si>
  <si>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</si>
  <si>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</si>
  <si>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</si>
  <si>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</si>
  <si>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</si>
  <si>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</si>
  <si>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</si>
  <si>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</si>
  <si>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</si>
  <si>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</si>
  <si>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</si>
  <si>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</si>
  <si>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</si>
  <si>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</si>
  <si>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</si>
  <si>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</si>
  <si>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</si>
  <si>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</si>
  <si>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</si>
  <si>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</si>
  <si>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</si>
  <si>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</si>
  <si>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</si>
  <si>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</si>
  <si>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</si>
  <si>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</si>
  <si>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</si>
  <si>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</si>
  <si>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</si>
  <si>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</si>
  <si>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</si>
  <si>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</si>
  <si>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</si>
  <si>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</si>
  <si>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</si>
  <si>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</si>
  <si>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</si>
  <si>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</si>
  <si>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</si>
  <si>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</si>
  <si>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</si>
  <si>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</si>
  <si>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</si>
  <si>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</si>
  <si>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</si>
  <si>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</si>
  <si>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</si>
  <si>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</si>
  <si>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</si>
  <si>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</si>
  <si>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</si>
  <si>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</si>
  <si>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</si>
  <si>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</si>
  <si>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</si>
  <si>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</si>
  <si>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</si>
  <si>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</si>
  <si>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</si>
  <si>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</si>
  <si>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</si>
  <si>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</si>
  <si>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</si>
  <si>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</si>
  <si>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</si>
  <si>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</si>
  <si>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</si>
  <si>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</si>
  <si>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</si>
  <si>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</si>
  <si>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</si>
  <si>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</si>
  <si>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</si>
  <si>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</si>
  <si>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</si>
  <si>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</si>
  <si>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</si>
  <si>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</si>
  <si>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</si>
  <si>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</si>
  <si>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</si>
  <si>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</si>
  <si>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</si>
  <si>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</si>
  <si>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</si>
  <si>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</si>
  <si>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</si>
  <si>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</si>
  <si>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</si>
  <si>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</si>
  <si>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</si>
  <si>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</si>
  <si>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</si>
  <si>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</si>
  <si>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</si>
  <si>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</si>
  <si>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</si>
  <si>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</si>
  <si>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</si>
  <si>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</si>
  <si>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</si>
  <si>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</si>
  <si>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</si>
  <si>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</si>
  <si>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</si>
  <si>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</si>
  <si>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</si>
  <si>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</si>
  <si>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</si>
  <si>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</si>
  <si>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</si>
  <si>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</si>
  <si>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</si>
  <si>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</si>
  <si>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</si>
  <si>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</si>
  <si>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</si>
  <si>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</si>
  <si>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</si>
  <si>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</si>
  <si>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</si>
  <si>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</si>
  <si>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</si>
  <si>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</si>
  <si>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</si>
  <si>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</si>
  <si>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</si>
  <si>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</si>
  <si>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</si>
  <si>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</si>
  <si>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</si>
  <si>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</si>
  <si>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</si>
  <si>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</si>
  <si>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</si>
  <si>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</si>
  <si>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</si>
  <si>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</si>
  <si>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</si>
  <si>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</si>
  <si>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</si>
  <si>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</si>
  <si>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</si>
  <si>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</si>
  <si>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</si>
  <si>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</si>
  <si>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</si>
  <si>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</si>
  <si>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</si>
  <si>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</si>
  <si>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</si>
  <si>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</si>
  <si>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</si>
  <si>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</si>
  <si>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</si>
  <si>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</si>
  <si>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</si>
  <si>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</si>
  <si>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</si>
  <si>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</si>
  <si>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</si>
  <si>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</si>
  <si>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</si>
  <si>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</si>
  <si>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</si>
  <si>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</si>
  <si>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</si>
  <si>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</si>
  <si>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</si>
  <si>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</si>
  <si>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</si>
  <si>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</si>
  <si>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</si>
  <si>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</si>
  <si>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</si>
  <si>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</si>
  <si>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</si>
  <si>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</si>
  <si>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</si>
  <si>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</si>
  <si>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</si>
  <si>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</si>
  <si>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</si>
  <si>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</si>
  <si>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</si>
  <si>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</si>
  <si>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</si>
  <si>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</si>
  <si>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</si>
  <si>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</si>
  <si>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</si>
  <si>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</si>
  <si>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</si>
  <si>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</si>
  <si>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</si>
  <si>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</si>
  <si>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</si>
  <si>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</si>
  <si>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</si>
  <si>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</si>
  <si>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</si>
  <si>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</si>
  <si>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</si>
  <si>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</si>
  <si>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</si>
  <si>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</si>
  <si>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</si>
  <si>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</si>
  <si>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</si>
  <si>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</si>
  <si>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</si>
  <si>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</si>
  <si>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</si>
  <si>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</si>
  <si>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</si>
  <si>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</si>
  <si>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</si>
  <si>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</si>
  <si>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</si>
  <si>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</si>
  <si>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</si>
  <si>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</si>
  <si>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</si>
  <si>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</si>
  <si>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</si>
  <si>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</si>
  <si>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</si>
  <si>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</si>
  <si>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</si>
  <si>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</si>
  <si>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</si>
  <si>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</si>
  <si>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</si>
  <si>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</si>
  <si>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</si>
  <si>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</si>
  <si>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</si>
  <si>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</si>
  <si>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</si>
  <si>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</si>
  <si>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</si>
  <si>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</si>
  <si>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</si>
  <si>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</si>
  <si>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</si>
  <si>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</si>
  <si>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</si>
  <si>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</si>
  <si>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</si>
  <si>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</si>
  <si>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</si>
  <si>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</si>
  <si>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</si>
  <si>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</si>
  <si>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</si>
  <si>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</si>
  <si>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</si>
  <si>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</si>
  <si>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</si>
  <si>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</si>
  <si>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</si>
  <si>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</si>
  <si>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</si>
  <si>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</si>
  <si>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</si>
  <si>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</si>
  <si>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</si>
  <si>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</si>
  <si>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</si>
  <si>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</si>
  <si>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</si>
  <si>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</si>
  <si>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</si>
  <si>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</si>
  <si>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</si>
  <si>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</si>
  <si>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</si>
  <si>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</si>
  <si>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</si>
  <si>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</si>
  <si>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</si>
  <si>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</si>
  <si>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</si>
  <si>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</si>
  <si>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</si>
  <si>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</si>
  <si>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</si>
  <si>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</si>
  <si>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</si>
  <si>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</si>
  <si>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</si>
  <si>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</si>
  <si>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</si>
  <si>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</si>
  <si>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</si>
  <si>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</si>
  <si>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</si>
  <si>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</si>
  <si>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</si>
  <si>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</si>
  <si>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</si>
  <si>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</si>
  <si>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</si>
  <si>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</si>
  <si>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</si>
  <si>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</si>
  <si>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</si>
  <si>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</si>
  <si>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</si>
  <si>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</si>
  <si>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</si>
  <si>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</si>
  <si>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</si>
  <si>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</si>
  <si>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</si>
  <si>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</si>
  <si>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</si>
  <si>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</si>
  <si>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</si>
  <si>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</si>
  <si>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</si>
  <si>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</si>
  <si>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</si>
  <si>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</si>
  <si>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</si>
  <si>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</si>
  <si>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</si>
  <si>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</si>
  <si>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</si>
  <si>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</si>
  <si>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</si>
  <si>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</si>
  <si>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</si>
  <si>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</si>
  <si>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</si>
  <si>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</si>
  <si>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</si>
  <si>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</si>
  <si>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</si>
  <si>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</si>
  <si>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</si>
  <si>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</si>
  <si>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</si>
  <si>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</si>
  <si>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</si>
  <si>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</si>
  <si>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</si>
  <si>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</si>
  <si>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</si>
  <si>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</si>
  <si>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</si>
  <si>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</si>
  <si>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</si>
  <si>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</si>
  <si>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</si>
  <si>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</si>
  <si>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</si>
  <si>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</si>
  <si>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</si>
  <si>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</si>
  <si>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</si>
  <si>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</si>
  <si>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</si>
  <si>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</si>
  <si>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</si>
  <si>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</si>
  <si>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</si>
  <si>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</si>
  <si>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</si>
  <si>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</si>
  <si>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</si>
  <si>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</si>
  <si>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</si>
  <si>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</si>
  <si>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</si>
  <si>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</si>
  <si>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</si>
  <si>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</si>
  <si>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</si>
  <si>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</si>
  <si>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</si>
  <si>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</si>
  <si>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</si>
  <si>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</si>
  <si>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</si>
  <si>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</si>
  <si>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</si>
  <si>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</si>
  <si>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</si>
  <si>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</si>
  <si>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</si>
  <si>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</si>
  <si>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</si>
  <si>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</si>
  <si>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</si>
  <si>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</si>
  <si>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</si>
  <si>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</si>
  <si>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</si>
  <si>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</si>
  <si>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</si>
  <si>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</si>
  <si>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</si>
  <si>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</si>
  <si>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</si>
  <si>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</si>
  <si>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</si>
  <si>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</si>
  <si>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</si>
  <si>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</si>
  <si>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</si>
  <si>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</si>
  <si>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</si>
  <si>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</si>
  <si>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</si>
  <si>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</si>
  <si>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</si>
  <si>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</si>
  <si>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</si>
  <si>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</si>
  <si>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</si>
  <si>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</si>
  <si>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</si>
  <si>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</si>
  <si>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</si>
  <si>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</si>
  <si>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</si>
  <si>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</si>
  <si>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</si>
  <si>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</si>
  <si>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</si>
  <si>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</si>
  <si>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</si>
  <si>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</si>
  <si>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</si>
  <si>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</si>
  <si>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</si>
  <si>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</si>
  <si>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</si>
  <si>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</si>
  <si>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</si>
  <si>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</si>
  <si>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</si>
  <si>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</si>
  <si>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</si>
  <si>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</si>
  <si>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</si>
  <si>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</si>
  <si>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</si>
  <si>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</si>
  <si>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</si>
  <si>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</si>
  <si>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</si>
  <si>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</si>
  <si>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</si>
  <si>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</si>
  <si>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</si>
  <si>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</si>
  <si>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</si>
  <si>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</si>
  <si>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</si>
  <si>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</si>
  <si>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</si>
  <si>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</si>
  <si>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</si>
  <si>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</si>
  <si>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</si>
  <si>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</si>
  <si>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</si>
  <si>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</si>
  <si>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</si>
  <si>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</si>
  <si>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</si>
  <si>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</si>
  <si>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</si>
  <si>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</si>
  <si>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</si>
  <si>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</si>
  <si>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</si>
  <si>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</si>
  <si>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</si>
  <si>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</si>
  <si>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</si>
  <si>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</si>
  <si>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</si>
  <si>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</si>
  <si>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</si>
  <si>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</si>
  <si>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</si>
  <si>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</si>
  <si>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</si>
  <si>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</si>
  <si>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</si>
  <si>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</si>
  <si>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</si>
  <si>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</si>
  <si>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</si>
  <si>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</si>
  <si>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</si>
  <si>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</si>
  <si>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</si>
  <si>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</si>
  <si>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</si>
  <si>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</si>
  <si>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</si>
  <si>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</si>
  <si>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</si>
  <si>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</si>
  <si>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</si>
  <si>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</si>
  <si>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</si>
  <si>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</si>
  <si>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</si>
  <si>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</si>
  <si>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</si>
  <si>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</si>
  <si>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</si>
  <si>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</si>
  <si>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</si>
  <si>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</si>
  <si>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</si>
  <si>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</si>
  <si>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</si>
  <si>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</si>
  <si>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</si>
  <si>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</si>
  <si>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</si>
  <si>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</si>
  <si>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</si>
  <si>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</si>
  <si>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</si>
  <si>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</si>
  <si>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</si>
  <si>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</si>
  <si>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</si>
  <si>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</si>
  <si>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</si>
  <si>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</si>
  <si>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</si>
  <si>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</si>
  <si>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</si>
  <si>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</si>
  <si>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</si>
  <si>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</si>
  <si>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</si>
  <si>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</si>
  <si>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</si>
  <si>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</si>
  <si>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</si>
  <si>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</si>
  <si>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</si>
  <si>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</si>
  <si>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</si>
  <si>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</si>
  <si>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</si>
  <si>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</si>
  <si>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</si>
  <si>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</si>
  <si>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</si>
  <si>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</si>
  <si>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</si>
  <si>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</si>
  <si>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</si>
  <si>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</si>
  <si>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</si>
  <si>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</si>
  <si>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</si>
  <si>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</si>
  <si>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</si>
  <si>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</si>
  <si>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</si>
  <si>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</si>
  <si>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</si>
  <si>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</si>
  <si>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</si>
  <si>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</si>
  <si>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</si>
  <si>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</si>
  <si>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</si>
  <si>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</si>
  <si>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</si>
  <si>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</si>
  <si>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</si>
  <si>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</si>
  <si>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</si>
  <si>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</si>
  <si>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</si>
  <si>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</si>
  <si>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</si>
  <si>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</si>
  <si>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</si>
  <si>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</si>
  <si>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</si>
  <si>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</si>
  <si>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</si>
  <si>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</si>
  <si>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</si>
  <si>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</si>
  <si>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</si>
  <si>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</si>
  <si>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</si>
  <si>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</si>
  <si>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</si>
  <si>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</si>
  <si>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</si>
  <si>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</si>
  <si>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</si>
  <si>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</si>
  <si>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</si>
  <si>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</si>
  <si>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</si>
  <si>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</si>
  <si>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</si>
  <si>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</si>
  <si>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</si>
  <si>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</si>
  <si>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</si>
  <si>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</si>
  <si>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</si>
  <si>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</si>
  <si>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</si>
  <si>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</si>
  <si>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</si>
  <si>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</si>
  <si>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</si>
  <si>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</si>
  <si>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</si>
  <si>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</si>
  <si>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</si>
  <si>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</si>
  <si>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</si>
  <si>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</si>
  <si>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</si>
  <si>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</si>
  <si>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</si>
  <si>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</si>
  <si>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</si>
  <si>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</si>
  <si>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</si>
  <si>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</si>
  <si>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</si>
  <si>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</si>
  <si>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</si>
  <si>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</si>
  <si>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</si>
  <si>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</si>
  <si>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</si>
  <si>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</si>
  <si>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</si>
  <si>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</si>
  <si>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</si>
  <si>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</si>
  <si>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</si>
  <si>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</si>
  <si>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</si>
  <si>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</si>
  <si>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</si>
  <si>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</si>
  <si>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</si>
  <si>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</si>
  <si>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</si>
  <si>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</si>
  <si>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</si>
  <si>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</si>
  <si>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</si>
  <si>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</si>
  <si>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</si>
  <si>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</si>
  <si>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</si>
  <si>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</si>
  <si>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</si>
  <si>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</si>
  <si>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</si>
  <si>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</si>
  <si>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</si>
  <si>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</si>
  <si>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</si>
  <si>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</si>
  <si>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</si>
  <si>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</si>
  <si>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</si>
  <si>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</si>
  <si>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</si>
  <si>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</si>
  <si>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</si>
  <si>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</si>
  <si>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</si>
  <si>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</si>
  <si>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</si>
  <si>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</si>
  <si>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</si>
  <si>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</si>
  <si>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</si>
  <si>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</si>
  <si>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</si>
  <si>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</si>
  <si>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</si>
  <si>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</si>
  <si>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</si>
  <si>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</si>
  <si>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</si>
  <si>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</si>
  <si>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</si>
  <si>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</si>
  <si>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</si>
  <si>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</si>
  <si>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</si>
  <si>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</si>
  <si>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</si>
  <si>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</si>
  <si>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</si>
  <si>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</si>
  <si>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</si>
  <si>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</si>
  <si>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</si>
  <si>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</si>
  <si>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</si>
  <si>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</si>
  <si>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</si>
  <si>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</si>
  <si>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</si>
  <si>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</si>
  <si>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</si>
  <si>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</si>
  <si>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</si>
  <si>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</si>
  <si>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</si>
  <si>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</si>
  <si>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</si>
  <si>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</si>
  <si>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</si>
  <si>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</si>
  <si>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</si>
  <si>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</si>
  <si>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</si>
  <si>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</si>
  <si>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</si>
  <si>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</si>
  <si>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</si>
  <si>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</si>
  <si>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</si>
  <si>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</si>
  <si>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</si>
  <si>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</si>
  <si>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</si>
  <si>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</si>
  <si>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</si>
  <si>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</si>
  <si>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</si>
  <si>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</si>
  <si>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</si>
  <si>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</si>
  <si>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</si>
  <si>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</si>
  <si>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</si>
  <si>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</si>
  <si>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</si>
  <si>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</si>
  <si>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</si>
  <si>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</si>
  <si>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</si>
  <si>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</si>
  <si>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</si>
  <si>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</si>
  <si>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</si>
  <si>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</si>
  <si>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</si>
  <si>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</si>
  <si>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</si>
  <si>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</si>
  <si>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</si>
  <si>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</si>
  <si>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</si>
  <si>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</si>
  <si>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</si>
  <si>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</si>
  <si>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</si>
  <si>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</si>
  <si>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</si>
  <si>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</si>
  <si>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</si>
  <si>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</si>
  <si>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</si>
  <si>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</si>
  <si>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</si>
  <si>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</si>
  <si>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</si>
  <si>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</si>
  <si>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</si>
  <si>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</si>
  <si>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</si>
  <si>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</si>
  <si>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</si>
  <si>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</si>
  <si>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</si>
  <si>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</si>
  <si>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</si>
  <si>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</si>
  <si>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</si>
  <si>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</si>
  <si>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</si>
  <si>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</si>
  <si>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</si>
  <si>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</si>
  <si>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</si>
  <si>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</si>
  <si>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</si>
  <si>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</si>
  <si>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</si>
  <si>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</si>
  <si>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</si>
  <si>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</si>
  <si>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</si>
  <si>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</si>
  <si>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</si>
  <si>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</si>
  <si>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</si>
  <si>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</si>
  <si>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</si>
  <si>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</si>
  <si>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</si>
  <si>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</si>
  <si>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</si>
  <si>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</si>
  <si>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</si>
  <si>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</si>
  <si>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</si>
  <si>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</si>
  <si>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</si>
  <si>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</si>
  <si>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</si>
  <si>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</si>
  <si>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</si>
  <si>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</si>
  <si>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</si>
  <si>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</si>
  <si>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</si>
  <si>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</si>
  <si>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</si>
  <si>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</si>
  <si>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</si>
  <si>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</si>
  <si>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</si>
  <si>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</si>
  <si>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</si>
  <si>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</si>
  <si>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</si>
  <si>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</si>
  <si>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</si>
  <si>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</si>
  <si>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</si>
  <si>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</si>
  <si>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</si>
  <si>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</si>
  <si>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</si>
  <si>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</si>
  <si>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</si>
  <si>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</si>
  <si>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</si>
  <si>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</si>
  <si>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</si>
  <si>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</si>
  <si>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</si>
  <si>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</si>
  <si>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</si>
  <si>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</si>
  <si>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</si>
  <si>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</si>
  <si>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</si>
  <si>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</si>
  <si>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</si>
  <si>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</si>
  <si>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</si>
  <si>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</si>
  <si>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</si>
  <si>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</si>
  <si>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</si>
  <si>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</si>
  <si>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</si>
  <si>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</si>
  <si>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</si>
  <si>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</si>
  <si>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</si>
  <si>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</si>
  <si>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</si>
  <si>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</si>
  <si>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</si>
  <si>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</si>
  <si>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</si>
  <si>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</si>
  <si>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</si>
  <si>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</si>
  <si>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</si>
  <si>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</si>
  <si>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</si>
  <si>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</si>
  <si>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</si>
  <si>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</si>
  <si>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</si>
  <si>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</si>
  <si>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</si>
  <si>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</si>
  <si>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</si>
  <si>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</si>
  <si>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</si>
  <si>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</si>
  <si>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</si>
  <si>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</si>
  <si>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</si>
  <si>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</si>
  <si>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</si>
  <si>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</si>
  <si>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</si>
  <si>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</si>
  <si>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</si>
  <si>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</si>
  <si>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</si>
  <si>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</si>
  <si>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</si>
  <si>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</si>
  <si>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</si>
  <si>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</si>
  <si>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</si>
  <si>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</si>
  <si>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</si>
  <si>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</si>
  <si>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</si>
  <si>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</si>
  <si>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</si>
  <si>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</si>
  <si>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</si>
  <si>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</si>
  <si>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</si>
  <si>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</si>
  <si>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</si>
  <si>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</si>
  <si>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</si>
  <si>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</si>
  <si>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</si>
  <si>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</si>
  <si>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</si>
  <si>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</si>
  <si>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</si>
  <si>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</si>
  <si>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</si>
  <si>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</si>
  <si>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</si>
  <si>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</si>
  <si>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</si>
  <si>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</si>
  <si>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</si>
  <si>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</si>
  <si>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</si>
  <si>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</si>
  <si>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</si>
  <si>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</si>
  <si>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</si>
  <si>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</si>
  <si>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</si>
  <si>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</si>
  <si>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</si>
  <si>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</si>
  <si>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</si>
  <si>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</si>
  <si>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</si>
  <si>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</si>
  <si>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</si>
  <si>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</si>
  <si>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</si>
  <si>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</si>
  <si>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</si>
  <si>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</si>
  <si>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</si>
  <si>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</si>
  <si>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</si>
  <si>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</si>
  <si>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</si>
  <si>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</si>
  <si>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</si>
  <si>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</si>
  <si>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</si>
  <si>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</si>
  <si>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</si>
  <si>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</si>
  <si>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</si>
  <si>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</si>
  <si>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</si>
  <si>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</si>
  <si>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</si>
  <si>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</si>
  <si>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</si>
  <si>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</si>
  <si>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</si>
  <si>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</si>
  <si>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</si>
  <si>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</si>
  <si>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</si>
  <si>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</si>
  <si>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</si>
  <si>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</si>
  <si>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</si>
  <si>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</si>
  <si>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</si>
  <si>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</si>
  <si>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</si>
  <si>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</si>
  <si>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</si>
  <si>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</si>
  <si>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</si>
  <si>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</si>
  <si>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</si>
  <si>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</si>
  <si>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</si>
  <si>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</si>
  <si>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</si>
  <si>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</si>
  <si>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</si>
  <si>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</si>
  <si>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</si>
  <si>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</si>
  <si>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</si>
  <si>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</si>
  <si>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</si>
  <si>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</si>
  <si>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</si>
  <si>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</si>
  <si>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</si>
  <si>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</si>
  <si>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</si>
  <si>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</si>
  <si>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</si>
  <si>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</si>
  <si>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</si>
  <si>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</si>
  <si>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</si>
  <si>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</si>
  <si>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</si>
  <si>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</si>
  <si>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</si>
  <si>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</si>
  <si>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</si>
  <si>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</si>
  <si>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</si>
  <si>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</si>
  <si>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</si>
  <si>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</si>
  <si>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</si>
  <si>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</si>
  <si>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</si>
  <si>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</si>
  <si>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</si>
  <si>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</si>
  <si>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</si>
  <si>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</si>
  <si>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</si>
  <si>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</si>
  <si>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</si>
  <si>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</si>
  <si>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</si>
  <si>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</si>
  <si>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</si>
  <si>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</si>
  <si>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</si>
  <si>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</si>
  <si>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</si>
  <si>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</si>
  <si>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</si>
  <si>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</si>
  <si>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</si>
  <si>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</si>
  <si>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</si>
  <si>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</si>
  <si>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</si>
  <si>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</si>
  <si>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</si>
  <si>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</si>
  <si>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</si>
  <si>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</si>
  <si>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</si>
  <si>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</si>
  <si>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</si>
  <si>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</si>
  <si>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</si>
  <si>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</si>
  <si>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</si>
  <si>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</si>
  <si>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</si>
  <si>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</si>
  <si>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</si>
  <si>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</si>
  <si>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</si>
  <si>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</si>
  <si>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</si>
  <si>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</si>
  <si>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</si>
  <si>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</si>
  <si>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</si>
  <si>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</si>
  <si>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</si>
  <si>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</si>
  <si>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</si>
  <si>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</si>
  <si>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</si>
  <si>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</si>
  <si>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</si>
  <si>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</si>
  <si>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</si>
  <si>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</si>
  <si>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</si>
  <si>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</si>
  <si>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</si>
  <si>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</si>
  <si>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</si>
  <si>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</si>
  <si>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</si>
  <si>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</si>
  <si>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</si>
  <si>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</si>
  <si>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</si>
  <si>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</si>
  <si>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</si>
  <si>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</si>
  <si>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</si>
  <si>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</si>
  <si>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</si>
  <si>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</si>
  <si>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</si>
  <si>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</si>
  <si>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</si>
  <si>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</si>
  <si>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</si>
  <si>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</si>
  <si>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</si>
  <si>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</si>
  <si>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</si>
  <si>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</si>
  <si>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</si>
  <si>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</si>
  <si>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</si>
  <si>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</si>
  <si>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</si>
  <si>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</si>
  <si>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</si>
  <si>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</si>
  <si>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</si>
  <si>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</si>
  <si>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</si>
  <si>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</si>
  <si>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</si>
  <si>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</si>
  <si>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</si>
  <si>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</si>
  <si>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</si>
  <si>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</si>
  <si>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</si>
  <si>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</si>
  <si>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</si>
  <si>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</si>
  <si>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</si>
  <si>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</si>
  <si>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</si>
  <si>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</si>
  <si>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</si>
  <si>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</si>
  <si>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</si>
  <si>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</si>
  <si>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</si>
  <si>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</si>
  <si>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</si>
  <si>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</si>
  <si>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</si>
  <si>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</si>
  <si>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</si>
  <si>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</si>
  <si>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</si>
  <si>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</si>
  <si>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</si>
  <si>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</si>
  <si>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</si>
  <si>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</si>
  <si>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</si>
  <si>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</si>
  <si>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</si>
  <si>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</si>
  <si>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</si>
  <si>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</si>
  <si>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</si>
  <si>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</si>
  <si>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</si>
  <si>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</si>
  <si>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</si>
  <si>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</si>
  <si>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</si>
  <si>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</si>
  <si>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</si>
  <si>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</si>
  <si>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</si>
  <si>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</si>
  <si>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</si>
  <si>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</si>
  <si>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</si>
  <si>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</si>
  <si>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</si>
  <si>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</si>
  <si>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</si>
  <si>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</si>
  <si>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</si>
  <si>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</si>
  <si>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</si>
  <si>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</si>
  <si>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</si>
  <si>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</si>
  <si>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</si>
  <si>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</si>
  <si>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</si>
  <si>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</si>
  <si>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</si>
  <si>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</si>
  <si>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</si>
  <si>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</si>
  <si>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</si>
  <si>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</si>
  <si>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</si>
  <si>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</si>
  <si>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</si>
  <si>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</si>
  <si>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</si>
  <si>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</si>
  <si>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</si>
  <si>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</si>
  <si>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</si>
  <si>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</si>
  <si>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</si>
  <si>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</si>
  <si>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</si>
  <si>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</si>
  <si>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</si>
  <si>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</si>
  <si>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</si>
  <si>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</si>
  <si>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</si>
  <si>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</si>
  <si>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</si>
  <si>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</si>
  <si>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</si>
  <si>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</si>
  <si>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</si>
  <si>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</si>
  <si>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</si>
  <si>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</si>
  <si>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</si>
  <si>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</si>
  <si>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</si>
  <si>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</si>
  <si>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</si>
  <si>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</si>
  <si>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</si>
  <si>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</si>
  <si>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</si>
  <si>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</si>
  <si>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</si>
  <si>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</si>
  <si>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</si>
  <si>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</si>
  <si>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</si>
  <si>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</si>
  <si>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</si>
  <si>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</si>
  <si>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</si>
  <si>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</si>
  <si>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</si>
  <si>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</si>
  <si>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</si>
  <si>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</si>
  <si>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</si>
  <si>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</si>
  <si>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</si>
  <si>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</si>
  <si>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</si>
  <si>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</si>
  <si>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</si>
  <si>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</si>
  <si>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</si>
  <si>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</si>
  <si>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</si>
  <si>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</si>
  <si>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</si>
  <si>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</si>
  <si>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</si>
  <si>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</si>
  <si>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</si>
  <si>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</si>
  <si>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</si>
  <si>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</si>
  <si>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</si>
  <si>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</si>
  <si>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</si>
  <si>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</si>
  <si>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</si>
  <si>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</si>
  <si>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</si>
  <si>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</si>
  <si>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</si>
  <si>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</si>
  <si>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</si>
  <si>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</si>
  <si>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</si>
  <si>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</si>
  <si>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</si>
  <si>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</si>
  <si>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</si>
  <si>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</si>
  <si>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</si>
  <si>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</si>
  <si>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</si>
  <si>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</si>
  <si>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</si>
  <si>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</si>
  <si>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</si>
  <si>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</si>
  <si>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</si>
  <si>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</si>
  <si>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</si>
  <si>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</si>
  <si>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</si>
  <si>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</si>
  <si>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</si>
  <si>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</si>
  <si>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</si>
  <si>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</si>
  <si>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</si>
  <si>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</si>
  <si>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</si>
  <si>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</si>
  <si>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</si>
  <si>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</si>
  <si>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</si>
  <si>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</si>
  <si>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</si>
  <si>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</si>
  <si>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</si>
  <si>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</si>
  <si>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</si>
  <si>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</si>
  <si>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</si>
  <si>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</si>
  <si>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</si>
  <si>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</si>
  <si>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</si>
  <si>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</si>
  <si>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</si>
  <si>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</si>
  <si>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</si>
  <si>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</si>
  <si>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</si>
  <si>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</si>
  <si>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</si>
  <si>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</si>
  <si>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</si>
  <si>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</si>
  <si>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</si>
  <si>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</si>
  <si>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</si>
  <si>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</si>
  <si>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</si>
  <si>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</si>
  <si>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</si>
  <si>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</si>
  <si>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</si>
  <si>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</si>
  <si>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</si>
  <si>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</si>
  <si>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</si>
  <si>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</si>
  <si>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</si>
  <si>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</si>
  <si>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</si>
  <si>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</si>
  <si>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</si>
  <si>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</si>
  <si>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</si>
  <si>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</si>
  <si>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</si>
  <si>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</si>
  <si>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</si>
  <si>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</si>
  <si>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</si>
  <si>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</si>
  <si>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</si>
  <si>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</si>
  <si>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</si>
  <si>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</si>
  <si>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</si>
  <si>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</si>
  <si>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</si>
  <si>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</si>
  <si>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</si>
  <si>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</si>
  <si>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</si>
  <si>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</si>
  <si>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</si>
  <si>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</si>
  <si>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</si>
  <si>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</si>
  <si>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</si>
  <si>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</si>
  <si>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</si>
  <si>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</si>
  <si>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</si>
  <si>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</si>
  <si>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</si>
  <si>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</si>
  <si>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</si>
  <si>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</si>
  <si>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</si>
  <si>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</si>
  <si>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</si>
  <si>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</si>
  <si>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</si>
  <si>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</si>
  <si>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</si>
  <si>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</si>
  <si>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</si>
  <si>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</si>
  <si>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</si>
  <si>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</si>
  <si>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</si>
  <si>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</si>
  <si>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</si>
  <si>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</si>
  <si>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</si>
  <si>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</si>
  <si>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</si>
  <si>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</si>
  <si>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</si>
  <si>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</si>
  <si>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</si>
  <si>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</si>
  <si>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</si>
  <si>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</si>
  <si>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</si>
  <si>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</si>
  <si>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</si>
  <si>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</si>
  <si>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</si>
  <si>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</si>
  <si>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</si>
  <si>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</si>
  <si>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</si>
  <si>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</si>
  <si>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</si>
  <si>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</si>
  <si>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</si>
  <si>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</si>
  <si>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</si>
  <si>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</si>
  <si>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</si>
  <si>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</si>
  <si>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</si>
  <si>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</si>
  <si>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</si>
  <si>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</si>
  <si>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</si>
  <si>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</si>
  <si>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</si>
  <si>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</si>
  <si>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</si>
  <si>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</si>
  <si>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</si>
  <si>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</si>
  <si>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</si>
  <si>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</si>
  <si>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</si>
  <si>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</si>
  <si>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</si>
  <si>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</si>
  <si>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</si>
  <si>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</si>
  <si>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</si>
  <si>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</si>
  <si>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</si>
  <si>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</si>
  <si>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</si>
  <si>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</si>
  <si>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</si>
  <si>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</si>
  <si>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</si>
  <si>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</si>
  <si>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</si>
  <si>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</si>
  <si>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</si>
  <si>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</si>
  <si>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</si>
  <si>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</si>
  <si>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</si>
  <si>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</si>
  <si>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</si>
  <si>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</si>
  <si>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</si>
  <si>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</si>
  <si>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</si>
  <si>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</si>
  <si>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</si>
  <si>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</si>
  <si>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</si>
  <si>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</si>
  <si>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</si>
  <si>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</si>
  <si>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</si>
  <si>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</si>
  <si>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</si>
  <si>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</si>
  <si>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</si>
  <si>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</si>
  <si>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</si>
  <si>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</si>
  <si>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</si>
  <si>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</si>
  <si>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</si>
  <si>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</si>
  <si>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</si>
  <si>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</si>
  <si>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</si>
  <si>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</si>
  <si>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</si>
  <si>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</si>
  <si>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</si>
  <si>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</si>
  <si>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</si>
  <si>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</si>
  <si>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</si>
  <si>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</si>
  <si>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</si>
  <si>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</si>
  <si>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</si>
  <si>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</si>
  <si>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</si>
  <si>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</si>
  <si>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</si>
  <si>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</si>
  <si>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</si>
  <si>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</si>
  <si>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</si>
  <si>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</si>
  <si>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</si>
  <si>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</si>
  <si>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</si>
  <si>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</si>
  <si>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</si>
  <si>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</si>
  <si>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</si>
  <si>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</si>
  <si>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</si>
  <si>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</si>
  <si>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</si>
  <si>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</si>
  <si>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</si>
  <si>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</si>
  <si>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</si>
  <si>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</si>
  <si>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</si>
  <si>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</si>
  <si>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</si>
  <si>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</si>
  <si>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</si>
  <si>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</si>
  <si>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</si>
  <si>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</si>
  <si>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</si>
  <si>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</si>
  <si>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</si>
  <si>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</si>
  <si>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</si>
  <si>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</si>
  <si>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</si>
  <si>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</si>
  <si>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</si>
  <si>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</si>
  <si>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</si>
  <si>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</si>
  <si>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</si>
  <si>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</si>
  <si>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</si>
  <si>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</si>
  <si>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</si>
  <si>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</si>
  <si>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</si>
  <si>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</si>
  <si>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</si>
  <si>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</si>
  <si>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</si>
  <si>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</si>
  <si>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</si>
  <si>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</si>
  <si>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</si>
  <si>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</si>
  <si>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</si>
  <si>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</si>
  <si>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</si>
  <si>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</si>
  <si>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</si>
  <si>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</si>
  <si>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</si>
  <si>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</si>
  <si>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</si>
  <si>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</si>
  <si>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</si>
  <si>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</si>
  <si>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</si>
  <si>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</si>
  <si>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</si>
  <si>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</si>
  <si>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</si>
  <si>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</si>
  <si>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</si>
  <si>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</si>
  <si>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</si>
  <si>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</si>
  <si>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</si>
  <si>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</si>
  <si>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</si>
  <si>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</si>
  <si>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</si>
  <si>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</si>
  <si>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</si>
  <si>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</si>
  <si>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</si>
  <si>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</si>
  <si>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</si>
  <si>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</si>
  <si>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</si>
  <si>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</si>
  <si>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</si>
  <si>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</si>
  <si>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</si>
  <si>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</si>
  <si>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</si>
  <si>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</si>
  <si>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</si>
  <si>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</si>
  <si>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</si>
  <si>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</si>
  <si>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</si>
  <si>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</si>
  <si>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</si>
  <si>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</si>
  <si>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</si>
  <si>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</si>
  <si>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</si>
  <si>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</si>
  <si>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</si>
  <si>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</si>
  <si>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</si>
  <si>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</si>
  <si>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</si>
  <si>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</si>
  <si>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</si>
  <si>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</si>
  <si>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</si>
  <si>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</si>
  <si>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</si>
  <si>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</si>
  <si>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</si>
  <si>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</si>
  <si>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</si>
  <si>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</si>
  <si>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</si>
  <si>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</si>
  <si>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</si>
  <si>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</si>
  <si>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</si>
  <si>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</si>
  <si>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</si>
  <si>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</si>
  <si>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</si>
  <si>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</si>
  <si>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</si>
  <si>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</si>
  <si>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</si>
  <si>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</si>
  <si>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</si>
  <si>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</si>
  <si>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</si>
  <si>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</si>
  <si>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</si>
  <si>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</si>
  <si>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</si>
  <si>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</si>
  <si>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</si>
  <si>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</si>
  <si>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</si>
  <si>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</si>
  <si>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</si>
  <si>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</si>
  <si>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</si>
  <si>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</si>
  <si>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</si>
  <si>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</si>
  <si>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</si>
  <si>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</si>
  <si>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</si>
  <si>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</si>
  <si>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</si>
  <si>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</si>
  <si>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</si>
  <si>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</si>
  <si>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</si>
  <si>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</si>
  <si>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</si>
  <si>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</si>
  <si>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</si>
  <si>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</si>
  <si>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</si>
  <si>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</si>
  <si>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</si>
  <si>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</si>
  <si>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</si>
  <si>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</si>
  <si>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</si>
  <si>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</si>
  <si>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</si>
  <si>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</si>
  <si>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</si>
  <si>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</si>
  <si>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</si>
  <si>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</si>
  <si>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</si>
  <si>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</si>
  <si>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</si>
  <si>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</si>
  <si>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</si>
  <si>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</si>
  <si>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</si>
  <si>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</si>
  <si>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</si>
  <si>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</si>
  <si>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</si>
  <si>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</si>
  <si>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</si>
  <si>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</si>
  <si>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</si>
  <si>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</si>
  <si>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</si>
  <si>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</si>
  <si>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</si>
  <si>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</si>
  <si>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</si>
  <si>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</si>
  <si>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</si>
  <si>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</si>
  <si>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</si>
  <si>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</si>
  <si>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</si>
  <si>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</si>
  <si>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</si>
  <si>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</si>
  <si>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</si>
  <si>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</si>
  <si>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</si>
  <si>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</si>
  <si>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</si>
  <si>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</si>
  <si>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</si>
  <si>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</si>
  <si>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</si>
  <si>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</si>
  <si>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</si>
  <si>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</si>
  <si>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</si>
  <si>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</si>
  <si>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</si>
  <si>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</si>
  <si>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</si>
  <si>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</si>
  <si>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</si>
  <si>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</si>
  <si>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</si>
  <si>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</si>
  <si>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</si>
  <si>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</si>
  <si>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</si>
  <si>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</si>
  <si>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</si>
  <si>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</si>
  <si>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</si>
  <si>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</si>
  <si>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</si>
  <si>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</si>
  <si>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</si>
  <si>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</si>
  <si>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</si>
  <si>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</si>
  <si>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</si>
  <si>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</si>
  <si>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</si>
  <si>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</si>
  <si>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</si>
  <si>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</si>
  <si>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</si>
  <si>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</si>
  <si>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</si>
  <si>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</si>
  <si>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</si>
  <si>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</si>
  <si>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</si>
  <si>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</si>
  <si>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</si>
  <si>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</si>
  <si>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</si>
  <si>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</si>
  <si>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</si>
  <si>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</si>
  <si>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</si>
  <si>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</si>
  <si>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</si>
  <si>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</si>
  <si>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</si>
  <si>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</si>
  <si>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</si>
  <si>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</si>
  <si>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</si>
  <si>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</si>
  <si>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</si>
  <si>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</si>
  <si>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</si>
  <si>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</si>
  <si>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</si>
  <si>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</si>
  <si>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</si>
  <si>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</si>
  <si>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</si>
  <si>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</si>
  <si>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</si>
  <si>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</si>
  <si>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</si>
  <si>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</si>
  <si>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</si>
  <si>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</si>
  <si>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</si>
  <si>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</si>
  <si>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</si>
  <si>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</si>
  <si>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</si>
  <si>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</si>
  <si>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</si>
  <si>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</si>
  <si>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</si>
  <si>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</si>
  <si>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</si>
  <si>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</si>
  <si>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</si>
  <si>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</si>
  <si>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</si>
  <si>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</si>
  <si>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</si>
  <si>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</si>
  <si>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</si>
  <si>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</si>
  <si>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</si>
  <si>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</si>
  <si>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</si>
  <si>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</si>
  <si>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</si>
  <si>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</si>
  <si>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VERE</t>
  </si>
  <si>
    <t xml:space="preserve">LA VERE EN AVAL DE CASTELNAU DE MONTMIRAL</t>
  </si>
  <si>
    <t xml:space="preserve">05120085</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</si>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</sst>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42601</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9.39393939393939</v>
      </c>
      <c r="N5" s="324"/>
      <c r="O5" s="325" t="s">
        <v>830</v>
      </c>
      <c r="P5" s="326" t="n">
        <v>8.81481481481482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34</v>
      </c>
      <c r="C7" s="342" t="n">
        <v>66</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9.83333333333333</v>
      </c>
      <c r="P8" s="356" t="n">
        <f aca="false">IF(ISERROR(AVERAGE(K23:K82)),"  ",AVERAGE(K23:K82))</f>
        <v>1.58333333333333</v>
      </c>
      <c r="Q8" s="357"/>
      <c r="R8" s="281"/>
      <c r="S8" s="281"/>
      <c r="T8" s="281"/>
      <c r="U8" s="281"/>
      <c r="V8" s="281"/>
      <c r="W8" s="295"/>
      <c r="X8" s="0"/>
      <c r="Y8" s="0"/>
      <c r="Z8" s="0"/>
    </row>
    <row r="9" customFormat="false" ht="12.75" hidden="false" customHeight="false" outlineLevel="0" collapsed="false">
      <c r="A9" s="314" t="s">
        <v>3399</v>
      </c>
      <c r="B9" s="358" t="n">
        <v>10</v>
      </c>
      <c r="C9" s="359" t="n">
        <v>15</v>
      </c>
      <c r="D9" s="360"/>
      <c r="E9" s="360"/>
      <c r="F9" s="361" t="n">
        <f aca="false">($B9*$B$7+$C9*$C$7)/100</f>
        <v>13.3</v>
      </c>
      <c r="G9" s="362"/>
      <c r="H9" s="317"/>
      <c r="I9" s="281"/>
      <c r="J9" s="363"/>
      <c r="K9" s="364"/>
      <c r="L9" s="347"/>
      <c r="M9" s="365"/>
      <c r="N9" s="355" t="s">
        <v>3400</v>
      </c>
      <c r="O9" s="356" t="n">
        <f aca="false">IF(ISERROR(STDEVP(J23:J82))," ",STDEVP(J23:J82))</f>
        <v>3.8477987935384</v>
      </c>
      <c r="P9" s="356" t="n">
        <f aca="false">IF(ISERROR(STDEVP(K23:K82)),"  ",STDEVP(K23:K82))</f>
        <v>0.640095478989051</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6</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7</v>
      </c>
      <c r="M13" s="381"/>
      <c r="N13" s="389" t="s">
        <v>3413</v>
      </c>
      <c r="O13" s="390" t="n">
        <f aca="false">COUNTIF(F23:F82,"&gt;0")</f>
        <v>18</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4</v>
      </c>
      <c r="M15" s="381"/>
      <c r="N15" s="389" t="s">
        <v>3419</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0.666666666666667</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9.545</v>
      </c>
      <c r="C20" s="433" t="n">
        <f aca="false">SUM(C23:C82)</f>
        <v>13.985</v>
      </c>
      <c r="D20" s="434"/>
      <c r="E20" s="435" t="s">
        <v>3426</v>
      </c>
      <c r="F20" s="436" t="n">
        <f aca="false">($B20*$B$7+$C20*$C$7)/100</f>
        <v>12.4754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3.2453</v>
      </c>
      <c r="C21" s="444" t="n">
        <f aca="false">C20*C7/100</f>
        <v>9.2301</v>
      </c>
      <c r="D21" s="445" t="s">
        <v>3429</v>
      </c>
      <c r="E21" s="446"/>
      <c r="F21" s="447" t="n">
        <f aca="false">B21+C21</f>
        <v>12.4754</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1</v>
      </c>
      <c r="C23" s="473" t="n">
        <v>3</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2.32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2.32</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228</v>
      </c>
      <c r="B24" s="490" t="n">
        <v>0.5</v>
      </c>
      <c r="C24" s="491" t="n">
        <v>0.9</v>
      </c>
      <c r="D24" s="492" t="str">
        <f aca="false">IF(ISERROR(VLOOKUP($A24,'liste reference'!$A$6:$B$1174,2,0)),IF(ISERROR(VLOOKUP($A24,'liste reference'!$B$6:$B$1174,1,0)),"",VLOOKUP($A24,'liste reference'!$B$6:$B$1174,1,0)),VLOOKUP($A24,'liste reference'!$A$6:$B$1174,2,0))</f>
        <v>Melosira sp.</v>
      </c>
      <c r="E24" s="493" t="e">
        <f aca="false">IF(D24="",0,VLOOKUP(D24,D$22:D23,1,0))</f>
        <v>#N/A</v>
      </c>
      <c r="F24" s="494" t="n">
        <f aca="false">IF(AND(OR(A24="",A24="!!!!!!"),B24="",C24=""),"",IF(OR(AND(B24="",C24=""),ISERROR(C24+B24)),"!!!",($B24*$B$7+$C24*$C$7)/100))</f>
        <v>0.764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10</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8714</v>
      </c>
      <c r="R24" s="484" t="n">
        <f aca="false">IF(ISTEXT(H24),"",(B24*$B$7/100)+(C24*$C$7/100))</f>
        <v>0.764</v>
      </c>
      <c r="S24" s="485" t="n">
        <f aca="false">IF(OR(ISTEXT(H24),R24=0),"",IF(R24&lt;0.1,1,IF(R24&lt;1,2,IF(R24&lt;10,3,IF(R24&lt;50,4,IF(R24&gt;=50,5,""))))))</f>
        <v>2</v>
      </c>
      <c r="T24" s="485" t="n">
        <f aca="false">IF(ISERROR(S24*J24),0,S24*J24)</f>
        <v>20</v>
      </c>
      <c r="U24" s="485" t="n">
        <f aca="false">IF(ISERROR(S24*J24*K24),0,S24*J24*K24)</f>
        <v>20</v>
      </c>
      <c r="V24" s="501" t="n">
        <f aca="false">IF(ISERROR(S24*K24),0,S24*K24)</f>
        <v>2</v>
      </c>
      <c r="W24" s="502"/>
      <c r="X24" s="503"/>
      <c r="Y24" s="488" t="str">
        <f aca="false">IF(AND(ISNUMBER(F24),OR(A24="",A24="!!!!!!")),"!!!!!!",IF(A24="new.cod","NEWCOD",IF(AND((Z24=""),ISTEXT(A24),A24&lt;&gt;"!!!!!!"),A24,IF(Z24="","",INDEX('liste reference'!$A$6:$A$1174,Z24)))))</f>
        <v>MELSPX</v>
      </c>
      <c r="Z24" s="470" t="n">
        <f aca="false">IF(ISERROR(MATCH(A24,'liste reference'!$A$6:$A$1174,0)),IF(ISERROR(MATCH(A24,'liste reference'!$B$6:$B$1174,0)),"",(MATCH(A24,'liste reference'!$B$6:$B$1174,0))),(MATCH(A24,'liste reference'!$A$6:$A$1174,0)))</f>
        <v>62</v>
      </c>
    </row>
    <row r="25" customFormat="false" ht="12.75" hidden="false" customHeight="false" outlineLevel="0" collapsed="false">
      <c r="A25" s="489" t="s">
        <v>239</v>
      </c>
      <c r="B25" s="490" t="n">
        <v>0.005</v>
      </c>
      <c r="C25" s="491" t="n">
        <v>0.1</v>
      </c>
      <c r="D25" s="492" t="str">
        <f aca="false">IF(ISERROR(VLOOKUP($A25,'liste reference'!$A$6:$B$1174,2,0)),IF(ISERROR(VLOOKUP($A25,'liste reference'!$B$6:$B$1174,1,0)),"",VLOOKUP($A25,'liste reference'!$B$6:$B$1174,1,0)),VLOOKUP($A25,'liste reference'!$A$6:$B$1174,2,0))</f>
        <v>Microspora sp.</v>
      </c>
      <c r="E25" s="493" t="e">
        <f aca="false">IF(D25="",0,VLOOKUP(D25,D$22:D24,1,0))</f>
        <v>#N/A</v>
      </c>
      <c r="F25" s="494" t="n">
        <f aca="false">IF(AND(OR(A25="",A25="!!!!!!"),B25="",C25=""),"",IF(OR(AND(B25="",C25=""),ISERROR(C25+B25)),"!!!",($B25*$B$7+$C25*$C$7)/100))</f>
        <v>0.0677</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Microspora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1132</v>
      </c>
      <c r="R25" s="484" t="n">
        <f aca="false">IF(ISTEXT(H25),"",(B25*$B$7/100)+(C25*$C$7/100))</f>
        <v>0.0677</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MICSPX</v>
      </c>
      <c r="Z25" s="470" t="n">
        <f aca="false">IF(ISERROR(MATCH(A25,'liste reference'!$A$6:$A$1174,0)),IF(ISERROR(MATCH(A25,'liste reference'!$B$6:$B$1174,0)),"",(MATCH(A25,'liste reference'!$B$6:$B$1174,0))),(MATCH(A25,'liste reference'!$A$6:$A$1174,0)))</f>
        <v>66</v>
      </c>
    </row>
    <row r="26" customFormat="false" ht="12.75" hidden="false" customHeight="false" outlineLevel="0" collapsed="false">
      <c r="A26" s="489" t="s">
        <v>300</v>
      </c>
      <c r="B26" s="490" t="n">
        <v>0.005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0.0017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0.0017</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0.005</v>
      </c>
      <c r="C27" s="491" t="n">
        <v>0.005</v>
      </c>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395</v>
      </c>
      <c r="B28" s="490" t="n">
        <v>7</v>
      </c>
      <c r="C28" s="491" t="n">
        <v>5</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5.68</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5.68</v>
      </c>
      <c r="S28" s="485" t="n">
        <f aca="false">IF(OR(ISTEXT(H28),R28=0),"",IF(R28&lt;0.1,1,IF(R28&lt;1,2,IF(R28&lt;10,3,IF(R28&lt;50,4,IF(R28&gt;=50,5,""))))))</f>
        <v>3</v>
      </c>
      <c r="T28" s="485" t="n">
        <f aca="false">IF(ISERROR(S28*J28),0,S28*J28)</f>
        <v>12</v>
      </c>
      <c r="U28" s="485" t="n">
        <f aca="false">IF(ISERROR(S28*J28*K28),0,S28*J28*K28)</f>
        <v>12</v>
      </c>
      <c r="V28" s="501" t="n">
        <f aca="false">IF(ISERROR(S28*K28),0,S28*K28)</f>
        <v>3</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557</v>
      </c>
      <c r="B29" s="490" t="n">
        <v>0.25</v>
      </c>
      <c r="C29" s="491" t="n">
        <v>0.4</v>
      </c>
      <c r="D29" s="492" t="str">
        <f aca="false">IF(ISERROR(VLOOKUP($A29,'liste reference'!$A$6:$B$1174,2,0)),IF(ISERROR(VLOOKUP($A29,'liste reference'!$B$6:$B$1174,1,0)),"",VLOOKUP($A29,'liste reference'!$B$6:$B$1174,1,0)),VLOOKUP($A29,'liste reference'!$A$6:$B$1174,2,0))</f>
        <v>Pellia sp.</v>
      </c>
      <c r="E29" s="493" t="e">
        <f aca="false">IF(D29="",0,VLOOKUP(D29,D$22:D28,1,0))</f>
        <v>#N/A</v>
      </c>
      <c r="F29" s="494" t="n">
        <f aca="false">IF(AND(OR(A29="",A29="!!!!!!"),B29="",C29=""),"",IF(OR(AND(B29="",C29=""),ISERROR(C29+B29)),"!!!",($B29*$B$7+$C29*$C$7)/100))</f>
        <v>0.349</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1196</v>
      </c>
      <c r="R29" s="484" t="n">
        <f aca="false">IF(ISTEXT(H29),"",(B29*$B$7/100)+(C29*$C$7/100))</f>
        <v>0.349</v>
      </c>
      <c r="S29" s="485" t="n">
        <f aca="false">IF(OR(ISTEXT(H29),R29=0),"",IF(R29&lt;0.1,1,IF(R29&lt;1,2,IF(R29&lt;10,3,IF(R29&lt;50,4,IF(R29&gt;=50,5,""))))))</f>
        <v>2</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PELSPX</v>
      </c>
      <c r="Z29" s="470" t="n">
        <f aca="false">IF(ISERROR(MATCH(A29,'liste reference'!$A$6:$A$1174,0)),IF(ISERROR(MATCH(A29,'liste reference'!$B$6:$B$1174,0)),"",(MATCH(A29,'liste reference'!$B$6:$B$1174,0))),(MATCH(A29,'liste reference'!$A$6:$A$1174,0)))</f>
        <v>170</v>
      </c>
    </row>
    <row r="30" customFormat="false" ht="12.75" hidden="false" customHeight="false" outlineLevel="0" collapsed="false">
      <c r="A30" s="489" t="s">
        <v>723</v>
      </c>
      <c r="B30" s="490" t="n">
        <v>0.01</v>
      </c>
      <c r="C30" s="491" t="n">
        <v>0.05</v>
      </c>
      <c r="D30" s="492" t="str">
        <f aca="false">IF(ISERROR(VLOOKUP($A30,'liste reference'!$A$6:$B$1174,2,0)),IF(ISERROR(VLOOKUP($A30,'liste reference'!$B$6:$B$1174,1,0)),"",VLOOKUP($A30,'liste reference'!$B$6:$B$1174,1,0)),VLOOKUP($A30,'liste reference'!$A$6:$B$1174,2,0))</f>
        <v>Cratoneuron filicinum</v>
      </c>
      <c r="E30" s="493" t="e">
        <f aca="false">IF(D30="",0,VLOOKUP(D30,D$22:D29,1,0))</f>
        <v>#N/A</v>
      </c>
      <c r="F30" s="494" t="n">
        <f aca="false">IF(AND(OR(A30="",A30="!!!!!!"),B30="",C30=""),"",IF(OR(AND(B30="",C30=""),ISERROR(C30+B30)),"!!!",($B30*$B$7+$C30*$C$7)/100))</f>
        <v>0.0364</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18</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Cratoneuron filicinum</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1233</v>
      </c>
      <c r="R30" s="484" t="n">
        <f aca="false">IF(ISTEXT(H30),"",(B30*$B$7/100)+(C30*$C$7/100))</f>
        <v>0.0364</v>
      </c>
      <c r="S30" s="485" t="n">
        <f aca="false">IF(OR(ISTEXT(H30),R30=0),"",IF(R30&lt;0.1,1,IF(R30&lt;1,2,IF(R30&lt;10,3,IF(R30&lt;50,4,IF(R30&gt;=50,5,""))))))</f>
        <v>1</v>
      </c>
      <c r="T30" s="485" t="n">
        <f aca="false">IF(ISERROR(S30*J30),0,S30*J30)</f>
        <v>18</v>
      </c>
      <c r="U30" s="485" t="n">
        <f aca="false">IF(ISERROR(S30*J30*K30),0,S30*J30*K30)</f>
        <v>54</v>
      </c>
      <c r="V30" s="501" t="n">
        <f aca="false">IF(ISERROR(S30*K30),0,S30*K30)</f>
        <v>3</v>
      </c>
      <c r="W30" s="502"/>
      <c r="X30" s="503"/>
      <c r="Y30" s="488" t="str">
        <f aca="false">IF(AND(ISNUMBER(F30),OR(A30="",A30="!!!!!!")),"!!!!!!",IF(A30="new.cod","NEWCOD",IF(AND((Z30=""),ISTEXT(A30),A30&lt;&gt;"!!!!!!"),A30,IF(Z30="","",INDEX('liste reference'!$A$6:$A$1174,Z30)))))</f>
        <v>CRAFIL</v>
      </c>
      <c r="Z30" s="470" t="n">
        <f aca="false">IF(ISERROR(MATCH(A30,'liste reference'!$A$6:$A$1174,0)),IF(ISERROR(MATCH(A30,'liste reference'!$B$6:$B$1174,0)),"",(MATCH(A30,'liste reference'!$B$6:$B$1174,0))),(MATCH(A30,'liste reference'!$A$6:$A$1174,0)))</f>
        <v>227</v>
      </c>
    </row>
    <row r="31" customFormat="false" ht="12.75" hidden="false" customHeight="false" outlineLevel="0" collapsed="false">
      <c r="A31" s="489" t="s">
        <v>830</v>
      </c>
      <c r="B31" s="490" t="n">
        <v>0.2</v>
      </c>
      <c r="C31" s="491" t="n">
        <v>2</v>
      </c>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1.388</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1.388</v>
      </c>
      <c r="S31" s="485" t="n">
        <f aca="false">IF(OR(ISTEXT(H31),R31=0),"",IF(R31&lt;0.1,1,IF(R31&lt;1,2,IF(R31&lt;10,3,IF(R31&lt;50,4,IF(R31&gt;=50,5,""))))))</f>
        <v>3</v>
      </c>
      <c r="T31" s="485" t="n">
        <f aca="false">IF(ISERROR(S31*J31),0,S31*J31)</f>
        <v>36</v>
      </c>
      <c r="U31" s="485" t="n">
        <f aca="false">IF(ISERROR(S31*J31*K31),0,S31*J31*K31)</f>
        <v>72</v>
      </c>
      <c r="V31" s="501" t="n">
        <f aca="false">IF(ISERROR(S31*K31),0,S31*K31)</f>
        <v>6</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889</v>
      </c>
      <c r="B32" s="490" t="n">
        <v>0.1</v>
      </c>
      <c r="C32" s="491" t="n">
        <v>1</v>
      </c>
      <c r="D32" s="492" t="str">
        <f aca="false">IF(ISERROR(VLOOKUP($A32,'liste reference'!$A$6:$B$1174,2,0)),IF(ISERROR(VLOOKUP($A32,'liste reference'!$B$6:$B$1174,1,0)),"",VLOOKUP($A32,'liste reference'!$B$6:$B$1174,1,0)),VLOOKUP($A32,'liste reference'!$A$6:$B$1174,2,0))</f>
        <v>Fontinalis antipyretica</v>
      </c>
      <c r="E32" s="493" t="e">
        <f aca="false">IF(D32="",0,VLOOKUP(D32,D$22:D31,1,0))</f>
        <v>#N/A</v>
      </c>
      <c r="F32" s="494" t="n">
        <f aca="false">IF(AND(OR(A32="",A32="!!!!!!"),B32="",C32=""),"",IF(OR(AND(B32="",C32=""),ISERROR(C32+B32)),"!!!",($B32*$B$7+$C32*$C$7)/100))</f>
        <v>0.694</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antipyretica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1310</v>
      </c>
      <c r="R32" s="484" t="n">
        <f aca="false">IF(ISTEXT(H32),"",(B32*$B$7/100)+(C32*$C$7/100))</f>
        <v>0.694</v>
      </c>
      <c r="S32" s="485" t="n">
        <f aca="false">IF(OR(ISTEXT(H32),R32=0),"",IF(R32&lt;0.1,1,IF(R32&lt;1,2,IF(R32&lt;10,3,IF(R32&lt;50,4,IF(R32&gt;=50,5,""))))))</f>
        <v>2</v>
      </c>
      <c r="T32" s="485" t="n">
        <f aca="false">IF(ISERROR(S32*J32),0,S32*J32)</f>
        <v>20</v>
      </c>
      <c r="U32" s="485" t="n">
        <f aca="false">IF(ISERROR(S32*J32*K32),0,S32*J32*K32)</f>
        <v>20</v>
      </c>
      <c r="V32" s="501" t="n">
        <f aca="false">IF(ISERROR(S32*K32),0,S32*K32)</f>
        <v>2</v>
      </c>
      <c r="W32" s="502"/>
      <c r="X32" s="503"/>
      <c r="Y32" s="488" t="str">
        <f aca="false">IF(AND(ISNUMBER(F32),OR(A32="",A32="!!!!!!")),"!!!!!!",IF(A32="new.cod","NEWCOD",IF(AND((Z32=""),ISTEXT(A32),A32&lt;&gt;"!!!!!!"),A32,IF(Z32="","",INDEX('liste reference'!$A$6:$A$1174,Z32)))))</f>
        <v>FONANT</v>
      </c>
      <c r="Z32" s="470" t="n">
        <f aca="false">IF(ISERROR(MATCH(A32,'liste reference'!$A$6:$A$1174,0)),IF(ISERROR(MATCH(A32,'liste reference'!$B$6:$B$1174,0)),"",(MATCH(A32,'liste reference'!$B$6:$B$1174,0))),(MATCH(A32,'liste reference'!$A$6:$A$1174,0)))</f>
        <v>273</v>
      </c>
    </row>
    <row r="33" customFormat="false" ht="12.75" hidden="false" customHeight="false" outlineLevel="0" collapsed="false">
      <c r="A33" s="489" t="s">
        <v>965</v>
      </c>
      <c r="B33" s="490"/>
      <c r="C33" s="491" t="n">
        <v>0.005</v>
      </c>
      <c r="D33" s="492" t="str">
        <f aca="false">IF(ISERROR(VLOOKUP($A33,'liste reference'!$A$6:$B$1174,2,0)),IF(ISERROR(VLOOKUP($A33,'liste reference'!$B$6:$B$1174,1,0)),"",VLOOKUP($A33,'liste reference'!$B$6:$B$1174,1,0)),VLOOKUP($A33,'liste reference'!$A$6:$B$1174,2,0))</f>
        <v>Kindbergia praelonga</v>
      </c>
      <c r="E33" s="493" t="e">
        <f aca="false">IF(D33="",0,VLOOKUP(D33,D$22:D32,1,0))</f>
        <v>#N/A</v>
      </c>
      <c r="F33" s="494" t="n">
        <f aca="false">IF(AND(OR(A33="",A33="!!!!!!"),B33="",C33=""),"",IF(OR(AND(B33="",C33=""),ISERROR(C33+B33)),"!!!",($B33*$B$7+$C33*$C$7)/100))</f>
        <v>0.0033</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Kindbergia praelonga</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30014</v>
      </c>
      <c r="R33" s="484" t="n">
        <f aca="false">IF(ISTEXT(H33),"",(B33*$B$7/100)+(C33*$C$7/100))</f>
        <v>0.0033</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KINPRA</v>
      </c>
      <c r="Z33" s="470" t="n">
        <f aca="false">IF(ISERROR(MATCH(A33,'liste reference'!$A$6:$A$1174,0)),IF(ISERROR(MATCH(A33,'liste reference'!$B$6:$B$1174,0)),"",(MATCH(A33,'liste reference'!$B$6:$B$1174,0))),(MATCH(A33,'liste reference'!$A$6:$A$1174,0)))</f>
        <v>297</v>
      </c>
    </row>
    <row r="34" customFormat="false" ht="12.75" hidden="false" customHeight="false" outlineLevel="0" collapsed="false">
      <c r="A34" s="489" t="s">
        <v>974</v>
      </c>
      <c r="B34" s="490" t="n">
        <v>0.05</v>
      </c>
      <c r="C34" s="491" t="n">
        <v>1.5</v>
      </c>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1.007</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1.007</v>
      </c>
      <c r="S34" s="485" t="n">
        <f aca="false">IF(OR(ISTEXT(H34),R34=0),"",IF(R34&lt;0.1,1,IF(R34&lt;1,2,IF(R34&lt;10,3,IF(R34&lt;50,4,IF(R34&gt;=50,5,""))))))</f>
        <v>3</v>
      </c>
      <c r="T34" s="485" t="n">
        <f aca="false">IF(ISERROR(S34*J34),0,S34*J34)</f>
        <v>15</v>
      </c>
      <c r="U34" s="485" t="n">
        <f aca="false">IF(ISERROR(S34*J34*K34),0,S34*J34*K34)</f>
        <v>30</v>
      </c>
      <c r="V34" s="501" t="n">
        <f aca="false">IF(ISERROR(S34*K34),0,S34*K34)</f>
        <v>6</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1122</v>
      </c>
      <c r="B35" s="490" t="n">
        <v>0.005</v>
      </c>
      <c r="C35" s="491" t="n">
        <v>0.005</v>
      </c>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0.005</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1255</v>
      </c>
      <c r="B36" s="490" t="n">
        <v>0.01</v>
      </c>
      <c r="C36" s="491" t="n">
        <v>0.01</v>
      </c>
      <c r="D36" s="492" t="str">
        <f aca="false">IF(ISERROR(VLOOKUP($A36,'liste reference'!$A$6:$B$1174,2,0)),IF(ISERROR(VLOOKUP($A36,'liste reference'!$B$6:$B$1174,1,0)),"",VLOOKUP($A36,'liste reference'!$B$6:$B$1174,1,0)),VLOOKUP($A36,'liste reference'!$A$6:$B$1174,2,0))</f>
        <v>Equisetum arvense</v>
      </c>
      <c r="E36" s="493" t="e">
        <f aca="false">IF(D36="",0,VLOOKUP(D36,D$22:D35,1,0))</f>
        <v>#N/A</v>
      </c>
      <c r="F36" s="494" t="n">
        <f aca="false">IF(AND(OR(A36="",A36="!!!!!!"),B36="",C36=""),"",IF(OR(AND(B36="",C36=""),ISERROR(C36+B36)),"!!!",($B36*$B$7+$C36*$C$7)/100))</f>
        <v>0.01</v>
      </c>
      <c r="G36" s="495" t="str">
        <f aca="false">IF(A36="","",IF(ISERROR(VLOOKUP($A36,'liste reference'!$A$6:$Q$1174,9,0)),IF(ISERROR(VLOOKUP($A36,'liste reference'!$B$6:$Q$1174,8,0)),"    -",VLOOKUP($A36,'liste reference'!$B$6:$Q$1174,8,0)),VLOOKUP($A36,'liste reference'!$A$6:$Q$1174,9,0)))</f>
        <v>PTE</v>
      </c>
      <c r="H36" s="496" t="n">
        <f aca="false">IF(A36="","x",IF(ISERROR(VLOOKUP($A36,'liste reference'!$A$6:$Q$1174,10,0)),IF(ISERROR(VLOOKUP($A36,'liste reference'!$B$6:$Q$1174,9,0)),"x",VLOOKUP($A36,'liste reference'!$B$6:$Q$1174,9,0)),VLOOKUP($A36,'liste reference'!$A$6:$Q$1174,10,0)))</f>
        <v>6</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1384</v>
      </c>
      <c r="R36" s="484" t="n">
        <f aca="false">IF(ISTEXT(H36),"",(B36*$B$7/100)+(C36*$C$7/100))</f>
        <v>0.01</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EQUARV</v>
      </c>
      <c r="Z36" s="470" t="n">
        <f aca="false">IF(ISERROR(MATCH(A36,'liste reference'!$A$6:$A$1174,0)),IF(ISERROR(MATCH(A36,'liste reference'!$B$6:$B$1174,0)),"",(MATCH(A36,'liste reference'!$B$6:$B$1174,0))),(MATCH(A36,'liste reference'!$A$6:$A$1174,0)))</f>
        <v>385</v>
      </c>
    </row>
    <row r="37" customFormat="false" ht="12.75" hidden="false" customHeight="false" outlineLevel="0" collapsed="false">
      <c r="A37" s="489" t="s">
        <v>2170</v>
      </c>
      <c r="B37" s="490" t="n">
        <v>0.2</v>
      </c>
      <c r="C37" s="491"/>
      <c r="D37" s="492" t="str">
        <f aca="false">IF(ISERROR(VLOOKUP($A37,'liste reference'!$A$6:$B$1174,2,0)),IF(ISERROR(VLOOKUP($A37,'liste reference'!$B$6:$B$1174,1,0)),"",VLOOKUP($A37,'liste reference'!$B$6:$B$1174,1,0)),VLOOKUP($A37,'liste reference'!$A$6:$B$1174,2,0))</f>
        <v>Phalaris arundinacea</v>
      </c>
      <c r="E37" s="493" t="e">
        <f aca="false">IF(D37="",0,VLOOKUP(D37,D$22:D36,1,0))</f>
        <v>#N/A</v>
      </c>
      <c r="F37" s="494" t="n">
        <f aca="false">IF(AND(OR(A37="",A37="!!!!!!"),B37="",C37=""),"",IF(OR(AND(B37="",C37=""),ISERROR(C37+B37)),"!!!",($B37*$B$7+$C37*$C$7)/100))</f>
        <v>0.068</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Phalaris arundinacea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1577</v>
      </c>
      <c r="R37" s="484" t="n">
        <f aca="false">IF(ISTEXT(H37),"",(B37*$B$7/100)+(C37*$C$7/100))</f>
        <v>0.068</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PHAARU</v>
      </c>
      <c r="Z37" s="470" t="n">
        <f aca="false">IF(ISERROR(MATCH(A37,'liste reference'!$A$6:$A$1174,0)),IF(ISERROR(MATCH(A37,'liste reference'!$B$6:$B$1174,0)),"",(MATCH(A37,'liste reference'!$B$6:$B$1174,0))),(MATCH(A37,'liste reference'!$A$6:$A$1174,0)))</f>
        <v>707</v>
      </c>
    </row>
    <row r="38" customFormat="false" ht="12.75" hidden="false" customHeight="false" outlineLevel="0" collapsed="false">
      <c r="A38" s="489" t="s">
        <v>2688</v>
      </c>
      <c r="B38" s="490" t="n">
        <v>0.1</v>
      </c>
      <c r="C38" s="491"/>
      <c r="D38" s="492" t="str">
        <f aca="false">IF(ISERROR(VLOOKUP($A38,'liste reference'!$A$6:$B$1174,2,0)),IF(ISERROR(VLOOKUP($A38,'liste reference'!$B$6:$B$1174,1,0)),"",VLOOKUP($A38,'liste reference'!$B$6:$B$1174,1,0)),VLOOKUP($A38,'liste reference'!$A$6:$B$1174,2,0))</f>
        <v>Lysimachia vulgaris</v>
      </c>
      <c r="E38" s="493" t="e">
        <f aca="false">IF(D38="",0,VLOOKUP(D38,D$22:D37,1,0))</f>
        <v>#N/A</v>
      </c>
      <c r="F38" s="494" t="n">
        <f aca="false">IF(AND(OR(A38="",A38="!!!!!!"),B38="",C38=""),"",IF(OR(AND(B38="",C38=""),ISERROR(C38+B38)),"!!!",($B38*$B$7+$C38*$C$7)/100))</f>
        <v>0.034</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Lysimachia vulgaris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1887</v>
      </c>
      <c r="R38" s="484" t="n">
        <f aca="false">IF(ISTEXT(H38),"",(B38*$B$7/100)+(C38*$C$7/100))</f>
        <v>0.034</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LYSVUL</v>
      </c>
      <c r="Z38" s="470" t="n">
        <f aca="false">IF(ISERROR(MATCH(A38,'liste reference'!$A$6:$A$1174,0)),IF(ISERROR(MATCH(A38,'liste reference'!$B$6:$B$1174,0)),"",(MATCH(A38,'liste reference'!$B$6:$B$1174,0))),(MATCH(A38,'liste reference'!$A$6:$A$1174,0)))</f>
        <v>899</v>
      </c>
    </row>
    <row r="39" customFormat="false" ht="12.75" hidden="false" customHeight="false" outlineLevel="0" collapsed="false">
      <c r="A39" s="489" t="s">
        <v>2970</v>
      </c>
      <c r="B39" s="490" t="n">
        <v>0.1</v>
      </c>
      <c r="C39" s="491" t="n">
        <v>0.01</v>
      </c>
      <c r="D39" s="492" t="str">
        <f aca="false">IF(ISERROR(VLOOKUP($A39,'liste reference'!$A$6:$B$1174,2,0)),IF(ISERROR(VLOOKUP($A39,'liste reference'!$B$6:$B$1174,1,0)),"",VLOOKUP($A39,'liste reference'!$B$6:$B$1174,1,0)),VLOOKUP($A39,'liste reference'!$A$6:$B$1174,2,0))</f>
        <v>Agrostis sp.</v>
      </c>
      <c r="E39" s="493" t="e">
        <f aca="false">IF(D39="",0,VLOOKUP(D39,D$22:D38,1,0))</f>
        <v>#N/A</v>
      </c>
      <c r="F39" s="494" t="n">
        <f aca="false">IF(AND(OR(A39="",A39="!!!!!!"),B39="",C39=""),"",IF(OR(AND(B39="",C39=""),ISERROR(C39+B39)),"!!!",($B39*$B$7+$C39*$C$7)/100))</f>
        <v>0.0406</v>
      </c>
      <c r="G39" s="495" t="str">
        <f aca="false">IF(A39="","",IF(ISERROR(VLOOKUP($A39,'liste reference'!$A$6:$Q$1174,9,0)),IF(ISERROR(VLOOKUP($A39,'liste reference'!$B$6:$Q$1174,8,0)),"    -",VLOOKUP($A39,'liste reference'!$B$6:$Q$1174,8,0)),VLOOKUP($A39,'liste reference'!$A$6:$Q$1174,9,0)))</f>
        <v>PHx</v>
      </c>
      <c r="H39" s="496" t="n">
        <f aca="false">IF(A39="","x",IF(ISERROR(VLOOKUP($A39,'liste reference'!$A$6:$Q$1174,10,0)),IF(ISERROR(VLOOKUP($A39,'liste reference'!$B$6:$Q$1174,9,0)),"x",VLOOKUP($A39,'liste reference'!$B$6:$Q$1174,9,0)),VLOOKUP($A39,'liste reference'!$A$6:$Q$1174,10,0)))</f>
        <v>10</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sp.</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1542</v>
      </c>
      <c r="R39" s="484" t="n">
        <f aca="false">IF(ISTEXT(H39),"",(B39*$B$7/100)+(C39*$C$7/100))</f>
        <v>0.0406</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AGRSPX</v>
      </c>
      <c r="Z39" s="470" t="n">
        <f aca="false">IF(ISERROR(MATCH(A39,'liste reference'!$A$6:$A$1174,0)),IF(ISERROR(MATCH(A39,'liste reference'!$B$6:$B$1174,0)),"",(MATCH(A39,'liste reference'!$B$6:$B$1174,0))),(MATCH(A39,'liste reference'!$A$6:$A$1174,0)))</f>
        <v>1002</v>
      </c>
    </row>
    <row r="40" customFormat="false" ht="12.75" hidden="false" customHeight="false" outlineLevel="0" collapsed="false">
      <c r="A40" s="489" t="s">
        <v>3246</v>
      </c>
      <c r="B40" s="490" t="n">
        <v>0.005</v>
      </c>
      <c r="C40" s="491"/>
      <c r="D40" s="492" t="str">
        <f aca="false">IF(ISERROR(VLOOKUP($A40,'liste reference'!$A$6:$B$1174,2,0)),IF(ISERROR(VLOOKUP($A40,'liste reference'!$B$6:$B$1174,1,0)),"",VLOOKUP($A40,'liste reference'!$B$6:$B$1174,1,0)),VLOOKUP($A40,'liste reference'!$A$6:$B$1174,2,0))</f>
        <v>Potentilla reptans</v>
      </c>
      <c r="E40" s="493" t="e">
        <f aca="false">IF(D40="",0,VLOOKUP(D40,D$22:D39,1,0))</f>
        <v>#N/A</v>
      </c>
      <c r="F40" s="494" t="n">
        <f aca="false">IF(AND(OR(A40="",A40="!!!!!!"),B40="",C40=""),"",IF(OR(AND(B40="",C40=""),ISERROR(C40+B40)),"!!!",($B40*$B$7+$C40*$C$7)/100))</f>
        <v>0.0017</v>
      </c>
      <c r="G40" s="495" t="str">
        <f aca="false">IF(A40="","",IF(ISERROR(VLOOKUP($A40,'liste reference'!$A$6:$Q$1174,9,0)),IF(ISERROR(VLOOKUP($A40,'liste reference'!$B$6:$Q$1174,8,0)),"    -",VLOOKUP($A40,'liste reference'!$B$6:$Q$1174,8,0)),VLOOKUP($A40,'liste reference'!$A$6:$Q$1174,9,0)))</f>
        <v>PHx</v>
      </c>
      <c r="H40" s="496" t="n">
        <f aca="false">IF(A40="","x",IF(ISERROR(VLOOKUP($A40,'liste reference'!$A$6:$Q$1174,10,0)),IF(ISERROR(VLOOKUP($A40,'liste reference'!$B$6:$Q$1174,9,0)),"x",VLOOKUP($A40,'liste reference'!$B$6:$Q$1174,9,0)),VLOOKUP($A40,'liste reference'!$A$6:$Q$1174,10,0)))</f>
        <v>10</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Potentilla reptans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29945</v>
      </c>
      <c r="R40" s="484" t="n">
        <f aca="false">IF(ISTEXT(H40),"",(B40*$B$7/100)+(C40*$C$7/100))</f>
        <v>0.0017</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POEREP</v>
      </c>
      <c r="Z40" s="470" t="n">
        <f aca="false">IF(ISERROR(MATCH(A40,'liste reference'!$A$6:$A$1174,0)),IF(ISERROR(MATCH(A40,'liste reference'!$B$6:$B$1174,0)),"",(MATCH(A40,'liste reference'!$B$6:$B$1174,0))),(MATCH(A40,'liste reference'!$A$6:$A$1174,0)))</f>
        <v>1125</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12.4754</v>
      </c>
      <c r="G83" s="424"/>
      <c r="H83" s="424"/>
      <c r="I83" s="424"/>
      <c r="J83" s="424"/>
      <c r="K83" s="424"/>
      <c r="L83" s="424"/>
      <c r="M83" s="485"/>
      <c r="N83" s="485"/>
      <c r="O83" s="485"/>
      <c r="P83" s="485"/>
      <c r="Q83" s="485"/>
      <c r="R83" s="485"/>
      <c r="S83" s="485"/>
      <c r="T83" s="485"/>
      <c r="U83" s="485"/>
      <c r="V83" s="485" t="n">
        <f aca="false">SUM(V23:V82)</f>
        <v>33</v>
      </c>
      <c r="W83" s="485"/>
      <c r="X83" s="523"/>
      <c r="Y83" s="523"/>
      <c r="Z83" s="524"/>
    </row>
    <row r="84" customFormat="false" ht="12.75" hidden="true" customHeight="false" outlineLevel="0" collapsed="false">
      <c r="A84" s="518" t="str">
        <f aca="false">A3</f>
        <v>LA VERE</v>
      </c>
      <c r="B84" s="453" t="str">
        <f aca="false">C3</f>
        <v>LA VERE EN AVAL DE CASTELNAU DE MONTMIRAL</v>
      </c>
      <c r="C84" s="525" t="str">
        <f aca="false">A4</f>
        <v>(Date)</v>
      </c>
      <c r="D84" s="526" t="n">
        <f aca="false">IF(OR(ISERROR(SUM($U$23:$U$82)/SUM($V$23:$V$82)),F7&lt;&gt;100),-1,SUM($U$23:$U$82)/SUM($V$23:$V$82))</f>
        <v>9.39393939393939</v>
      </c>
      <c r="E84" s="527" t="n">
        <f aca="false">O13</f>
        <v>18</v>
      </c>
      <c r="F84" s="453" t="n">
        <f aca="false">O14</f>
        <v>12</v>
      </c>
      <c r="G84" s="453" t="n">
        <f aca="false">O15</f>
        <v>6</v>
      </c>
      <c r="H84" s="453" t="n">
        <f aca="false">O16</f>
        <v>5</v>
      </c>
      <c r="I84" s="453" t="n">
        <f aca="false">O17</f>
        <v>1</v>
      </c>
      <c r="J84" s="528" t="n">
        <f aca="false">O8</f>
        <v>9.83333333333333</v>
      </c>
      <c r="K84" s="529" t="n">
        <f aca="false">O9</f>
        <v>3.8477987935384</v>
      </c>
      <c r="L84" s="530" t="n">
        <f aca="false">O10</f>
        <v>4</v>
      </c>
      <c r="M84" s="530" t="n">
        <f aca="false">O11</f>
        <v>18</v>
      </c>
      <c r="N84" s="529" t="n">
        <f aca="false">P8</f>
        <v>1.58333333333333</v>
      </c>
      <c r="O84" s="529" t="n">
        <f aca="false">P9</f>
        <v>0.640095478989051</v>
      </c>
      <c r="P84" s="530" t="n">
        <f aca="false">P10</f>
        <v>1</v>
      </c>
      <c r="Q84" s="530" t="n">
        <f aca="false">P11</f>
        <v>3</v>
      </c>
      <c r="R84" s="530" t="n">
        <f aca="false">F21</f>
        <v>12.4754</v>
      </c>
      <c r="S84" s="530" t="n">
        <f aca="false">L11</f>
        <v>0</v>
      </c>
      <c r="T84" s="530" t="n">
        <f aca="false">L12</f>
        <v>6</v>
      </c>
      <c r="U84" s="530" t="n">
        <f aca="false">L13</f>
        <v>7</v>
      </c>
      <c r="V84" s="531" t="n">
        <f aca="false">L15</f>
        <v>4</v>
      </c>
      <c r="W84" s="532" t="n">
        <f aca="false">L15</f>
        <v>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36</v>
      </c>
      <c r="U87" s="281"/>
      <c r="V87" s="281"/>
    </row>
    <row r="88" customFormat="false" ht="12.75" hidden="true" customHeight="false" outlineLevel="0" collapsed="false">
      <c r="C88" s="534"/>
      <c r="D88" s="534"/>
      <c r="E88" s="534"/>
      <c r="R88" s="281" t="s">
        <v>3453</v>
      </c>
      <c r="S88" s="281"/>
      <c r="T88" s="536" t="n">
        <f aca="false">VLOOKUP($T$91,($A$23:$U$82),21,0)</f>
        <v>72</v>
      </c>
      <c r="U88" s="281"/>
      <c r="V88" s="281" t="n">
        <f aca="false">COUNTIF(V23:V82,T89)</f>
        <v>2</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8.81481481481482</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3457</v>
      </c>
      <c r="S92" s="281"/>
      <c r="T92" s="281" t="n">
        <f aca="false">MATCH(T89,$V$23:$V$82,0)</f>
        <v>9</v>
      </c>
      <c r="U92" s="281"/>
    </row>
    <row r="93" customFormat="false" ht="12.75" hidden="true" customHeight="false" outlineLevel="0" collapsed="false">
      <c r="C93" s="534"/>
      <c r="D93" s="534"/>
      <c r="E93" s="534"/>
      <c r="R93" s="485" t="s">
        <v>3458</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2017-02-20T09:43:32Z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