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6100" sheetId="6" state="visible" r:id="rId8"/>
    <sheet name="jgjg" sheetId="7" state="hidden" r:id="rId9"/>
    <sheet name="liste codes réf" sheetId="8" state="hidden" r:id="rId10"/>
  </sheets>
  <definedNames>
    <definedName function="false" hidden="false" localSheetId="5" name="_xlnm.Print_Area" vbProcedure="false">'05126100'!$A$1:$Q$82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'05126100'!$A$1:$Q$82</definedName>
    <definedName function="false" hidden="false" localSheetId="5" name="_xlnm__FilterDatabase" vbProcedure="false">'05126100'!$A$1:$C$1415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<sst xmlns="http://schemas.openxmlformats.org/spreadsheetml/2006/main" count="8845" uniqueCount="3498">
  <si>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</si>
  <si>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</si>
  <si>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</si>
  <si>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</si>
  <si>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</si>
  <si>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</si>
  <si>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</si>
  <si>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</si>
  <si>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</si>
  <si>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</si>
  <si>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</si>
  <si>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</si>
  <si>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</si>
  <si>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</si>
  <si>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</si>
  <si>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</si>
  <si>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</si>
  <si>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</si>
  <si>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</si>
  <si>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</si>
  <si>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</si>
  <si>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</si>
  <si>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</si>
  <si>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</si>
  <si>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</si>
  <si>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</si>
  <si>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</si>
  <si>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</si>
  <si>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</si>
  <si>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</si>
  <si>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</si>
  <si>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</si>
  <si>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</si>
  <si>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</si>
  <si>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</si>
  <si>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</si>
  <si>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</si>
  <si>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</si>
  <si>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</si>
  <si>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</si>
  <si>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</si>
  <si>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</si>
  <si>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</si>
  <si>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</si>
  <si>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</si>
  <si>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</si>
  <si>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</si>
  <si>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</si>
  <si>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</si>
  <si>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</si>
  <si>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</si>
  <si>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</si>
  <si>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</si>
  <si>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</si>
  <si>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</si>
  <si>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</si>
  <si>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</si>
  <si>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</si>
  <si>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</si>
  <si>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</si>
  <si>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</si>
  <si>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</si>
  <si>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</si>
  <si>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</si>
  <si>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</si>
  <si>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</si>
  <si>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</si>
  <si>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</si>
  <si>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</si>
  <si>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</si>
  <si>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</si>
  <si>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</si>
  <si>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</si>
  <si>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</si>
  <si>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</si>
  <si>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</si>
  <si>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</si>
  <si>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</si>
  <si>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</si>
  <si>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</si>
  <si>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</si>
  <si>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</si>
  <si>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</si>
  <si>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</si>
  <si>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</si>
  <si>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</si>
  <si>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</si>
  <si>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</si>
  <si>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</si>
  <si>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</si>
  <si>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</si>
  <si>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</si>
  <si>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</si>
  <si>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</si>
  <si>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</si>
  <si>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</si>
  <si>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</si>
  <si>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</si>
  <si>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</si>
  <si>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</si>
  <si>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</si>
  <si>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</si>
  <si>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</si>
  <si>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</si>
  <si>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</si>
  <si>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</si>
  <si>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</si>
  <si>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</si>
  <si>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</si>
  <si>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</si>
  <si>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</si>
  <si>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</si>
  <si>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</si>
  <si>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</si>
  <si>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</si>
  <si>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</si>
  <si>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</si>
  <si>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</si>
  <si>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</si>
  <si>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</si>
  <si>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</si>
  <si>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</si>
  <si>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</si>
  <si>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</si>
  <si>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</si>
  <si>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</si>
  <si>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</si>
  <si>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</si>
  <si>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</si>
  <si>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</si>
  <si>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</si>
  <si>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</si>
  <si>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</si>
  <si>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</si>
  <si>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</si>
  <si>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</si>
  <si>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</si>
  <si>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</si>
  <si>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</si>
  <si>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</si>
  <si>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</si>
  <si>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</si>
  <si>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</si>
  <si>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</si>
  <si>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</si>
  <si>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</si>
  <si>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</si>
  <si>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</si>
  <si>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</si>
  <si>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</si>
  <si>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</si>
  <si>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</si>
  <si>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</si>
  <si>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</si>
  <si>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</si>
  <si>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</si>
  <si>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</si>
  <si>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</si>
  <si>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</si>
  <si>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</si>
  <si>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</si>
  <si>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</si>
  <si>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</si>
  <si>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</si>
  <si>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</si>
  <si>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</si>
  <si>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</si>
  <si>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</si>
  <si>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</si>
  <si>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</si>
  <si>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</si>
  <si>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</si>
  <si>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</si>
  <si>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</si>
  <si>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</si>
  <si>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</si>
  <si>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</si>
  <si>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</si>
  <si>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</si>
  <si>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</si>
  <si>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</si>
  <si>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</si>
  <si>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</si>
  <si>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</si>
  <si>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</si>
  <si>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</si>
  <si>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</si>
  <si>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</si>
  <si>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</si>
  <si>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</si>
  <si>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</si>
  <si>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</si>
  <si>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</si>
  <si>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</si>
  <si>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</si>
  <si>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</si>
  <si>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</si>
  <si>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</si>
  <si>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</si>
  <si>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</si>
  <si>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</si>
  <si>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</si>
  <si>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</si>
  <si>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</si>
  <si>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</si>
  <si>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</si>
  <si>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</si>
  <si>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</si>
  <si>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</si>
  <si>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</si>
  <si>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</si>
  <si>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</si>
  <si>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</si>
  <si>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</si>
  <si>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</si>
  <si>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</si>
  <si>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</si>
  <si>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</si>
  <si>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</si>
  <si>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</si>
  <si>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</si>
  <si>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</si>
  <si>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</si>
  <si>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</si>
  <si>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</si>
  <si>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</si>
  <si>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</si>
  <si>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</si>
  <si>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</si>
  <si>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</si>
  <si>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</si>
  <si>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</si>
  <si>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</si>
  <si>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</si>
  <si>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</si>
  <si>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</si>
  <si>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</si>
  <si>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</si>
  <si>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</si>
  <si>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</si>
  <si>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</si>
  <si>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</si>
  <si>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</si>
  <si>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</si>
  <si>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</si>
  <si>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</si>
  <si>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</si>
  <si>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</si>
  <si>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</si>
  <si>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</si>
  <si>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</si>
  <si>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</si>
  <si>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</si>
  <si>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</si>
  <si>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</si>
  <si>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</si>
  <si>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</si>
  <si>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</si>
  <si>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</si>
  <si>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</si>
  <si>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</si>
  <si>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</si>
  <si>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</si>
  <si>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</si>
  <si>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</si>
  <si>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</si>
  <si>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</si>
  <si>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</si>
  <si>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</si>
  <si>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</si>
  <si>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</si>
  <si>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</si>
  <si>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</si>
  <si>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</si>
  <si>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</si>
  <si>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</si>
  <si>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</si>
  <si>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</si>
  <si>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</si>
  <si>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</si>
  <si>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</si>
  <si>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</si>
  <si>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</si>
  <si>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</si>
  <si>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</si>
  <si>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</si>
  <si>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</si>
  <si>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</si>
  <si>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</si>
  <si>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</si>
  <si>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</si>
  <si>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</si>
  <si>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</si>
  <si>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</si>
  <si>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</si>
  <si>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</si>
  <si>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</si>
  <si>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</si>
  <si>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</si>
  <si>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</si>
  <si>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</si>
  <si>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</si>
  <si>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</si>
  <si>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</si>
  <si>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</si>
  <si>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</si>
  <si>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</si>
  <si>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</si>
  <si>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</si>
  <si>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</si>
  <si>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</si>
  <si>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</si>
  <si>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</si>
  <si>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</si>
  <si>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</si>
  <si>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</si>
  <si>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</si>
  <si>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</si>
  <si>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</si>
  <si>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</si>
  <si>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</si>
  <si>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</si>
  <si>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</si>
  <si>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</si>
  <si>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</si>
  <si>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</si>
  <si>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</si>
  <si>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</si>
  <si>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</si>
  <si>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</si>
  <si>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</si>
  <si>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</si>
  <si>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</si>
  <si>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</si>
  <si>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</si>
  <si>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</si>
  <si>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</si>
  <si>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</si>
  <si>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</si>
  <si>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</si>
  <si>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</si>
  <si>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</si>
  <si>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</si>
  <si>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</si>
  <si>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</si>
  <si>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</si>
  <si>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</si>
  <si>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</si>
  <si>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</si>
  <si>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</si>
  <si>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</si>
  <si>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</si>
  <si>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</si>
  <si>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</si>
  <si>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</si>
  <si>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</si>
  <si>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</si>
  <si>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</si>
  <si>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</si>
  <si>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</si>
  <si>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</si>
  <si>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</si>
  <si>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</si>
  <si>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</si>
  <si>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</si>
  <si>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</si>
  <si>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</si>
  <si>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</si>
  <si>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</si>
  <si>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</si>
  <si>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</si>
  <si>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</si>
  <si>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</si>
  <si>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</si>
  <si>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</si>
  <si>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</si>
  <si>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</si>
  <si>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</si>
  <si>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</si>
  <si>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</si>
  <si>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</si>
  <si>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</si>
  <si>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</si>
  <si>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</si>
  <si>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</si>
  <si>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</si>
  <si>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</si>
  <si>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</si>
  <si>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</si>
  <si>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</si>
  <si>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</si>
  <si>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</si>
  <si>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</si>
  <si>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</si>
  <si>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</si>
  <si>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</si>
  <si>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</si>
  <si>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</si>
  <si>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</si>
  <si>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</si>
  <si>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</si>
  <si>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</si>
  <si>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</si>
  <si>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</si>
  <si>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</si>
  <si>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</si>
  <si>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</si>
  <si>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</si>
  <si>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</si>
  <si>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</si>
  <si>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</si>
  <si>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</si>
  <si>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</si>
  <si>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</si>
  <si>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</si>
  <si>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</si>
  <si>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</si>
  <si>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</si>
  <si>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</si>
  <si>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</si>
  <si>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</si>
  <si>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</si>
  <si>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</si>
  <si>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</si>
  <si>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</si>
  <si>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</si>
  <si>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</si>
  <si>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</si>
  <si>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</si>
  <si>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</si>
  <si>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</si>
  <si>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</si>
  <si>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</si>
  <si>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</si>
  <si>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</si>
  <si>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</si>
  <si>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</si>
  <si>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</si>
  <si>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</si>
  <si>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</si>
  <si>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</si>
  <si>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</si>
  <si>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</si>
  <si>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</si>
  <si>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</si>
  <si>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</si>
  <si>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</si>
  <si>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</si>
  <si>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</si>
  <si>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</si>
  <si>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</si>
  <si>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</si>
  <si>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</si>
  <si>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</si>
  <si>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</si>
  <si>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</si>
  <si>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</si>
  <si>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</si>
  <si>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</si>
  <si>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</si>
  <si>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</si>
  <si>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</si>
  <si>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</si>
  <si>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</si>
  <si>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</si>
  <si>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</si>
  <si>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</si>
  <si>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</si>
  <si>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</si>
  <si>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</si>
  <si>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</si>
  <si>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</si>
  <si>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</si>
  <si>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</si>
  <si>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</si>
  <si>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</si>
  <si>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</si>
  <si>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</si>
  <si>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</si>
  <si>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</si>
  <si>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</si>
  <si>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</si>
  <si>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</si>
  <si>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</si>
  <si>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</si>
  <si>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</si>
  <si>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</si>
  <si>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</si>
  <si>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</si>
  <si>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</si>
  <si>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</si>
  <si>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</si>
  <si>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</si>
  <si>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</si>
  <si>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</si>
  <si>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</si>
  <si>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</si>
  <si>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</si>
  <si>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</si>
  <si>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</si>
  <si>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</si>
  <si>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</si>
  <si>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</si>
  <si>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</si>
  <si>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</si>
  <si>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</si>
  <si>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</si>
  <si>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</si>
  <si>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</si>
  <si>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</si>
  <si>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</si>
  <si>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</si>
  <si>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</si>
  <si>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</si>
  <si>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</si>
  <si>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</si>
  <si>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</si>
  <si>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</si>
  <si>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</si>
  <si>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</si>
  <si>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</si>
  <si>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</si>
  <si>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</si>
  <si>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</si>
  <si>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</si>
  <si>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</si>
  <si>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</si>
  <si>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</si>
  <si>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</si>
  <si>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</si>
  <si>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</si>
  <si>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</si>
  <si>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</si>
  <si>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</si>
  <si>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</si>
  <si>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</si>
  <si>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</si>
  <si>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</si>
  <si>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</si>
  <si>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</si>
  <si>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</si>
  <si>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</si>
  <si>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</si>
  <si>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</si>
  <si>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</si>
  <si>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</si>
  <si>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</si>
  <si>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</si>
  <si>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</si>
  <si>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</si>
  <si>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</si>
  <si>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</si>
  <si>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</si>
  <si>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</si>
  <si>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</si>
  <si>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</si>
  <si>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</si>
  <si>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</si>
  <si>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</si>
  <si>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</si>
  <si>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</si>
  <si>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</si>
  <si>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</si>
  <si>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</si>
  <si>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</si>
  <si>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</si>
  <si>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</si>
  <si>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</si>
  <si>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</si>
  <si>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</si>
  <si>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</si>
  <si>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</si>
  <si>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</si>
  <si>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</si>
  <si>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</si>
  <si>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</si>
  <si>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</si>
  <si>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</si>
  <si>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</si>
  <si>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</si>
  <si>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</si>
  <si>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</si>
  <si>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</si>
  <si>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</si>
  <si>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</si>
  <si>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</si>
  <si>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</si>
  <si>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</si>
  <si>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</si>
  <si>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</si>
  <si>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</si>
  <si>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</si>
  <si>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</si>
  <si>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</si>
  <si>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</si>
  <si>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</si>
  <si>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</si>
  <si>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</si>
  <si>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</si>
  <si>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</si>
  <si>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</si>
  <si>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</si>
  <si>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</si>
  <si>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</si>
  <si>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</si>
  <si>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</si>
  <si>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</si>
  <si>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</si>
  <si>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</si>
  <si>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</si>
  <si>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</si>
  <si>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</si>
  <si>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</si>
  <si>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</si>
  <si>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</si>
  <si>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</si>
  <si>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</si>
  <si>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</si>
  <si>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</si>
  <si>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</si>
  <si>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</si>
  <si>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</si>
  <si>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</si>
  <si>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</si>
  <si>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</si>
  <si>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</si>
  <si>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</si>
  <si>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</si>
  <si>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</si>
  <si>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</si>
  <si>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</si>
  <si>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</si>
  <si>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</si>
  <si>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</si>
  <si>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</si>
  <si>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</si>
  <si>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</si>
  <si>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</si>
  <si>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</si>
  <si>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</si>
  <si>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</si>
  <si>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</si>
  <si>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</si>
  <si>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</si>
  <si>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</si>
  <si>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</si>
  <si>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</si>
  <si>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</si>
  <si>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</si>
  <si>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</si>
  <si>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</si>
  <si>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</si>
  <si>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</si>
  <si>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</si>
  <si>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</si>
  <si>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</si>
  <si>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</si>
  <si>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</si>
  <si>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</si>
  <si>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</si>
  <si>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</si>
  <si>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</si>
  <si>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</si>
  <si>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</si>
  <si>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</si>
  <si>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</si>
  <si>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</si>
  <si>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</si>
  <si>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</si>
  <si>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</si>
  <si>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</si>
  <si>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</si>
  <si>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</si>
  <si>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</si>
  <si>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</si>
  <si>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</si>
  <si>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</si>
  <si>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</si>
  <si>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</si>
  <si>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</si>
  <si>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</si>
  <si>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</si>
  <si>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</si>
  <si>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</si>
  <si>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</si>
  <si>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</si>
  <si>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</si>
  <si>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</si>
  <si>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</si>
  <si>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</si>
  <si>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</si>
  <si>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</si>
  <si>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</si>
  <si>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</si>
  <si>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</si>
  <si>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</si>
  <si>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</si>
  <si>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</si>
  <si>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</si>
  <si>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</si>
  <si>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</si>
  <si>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</si>
  <si>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</si>
  <si>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</si>
  <si>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</si>
  <si>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</si>
  <si>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</si>
  <si>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</si>
  <si>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</si>
  <si>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</si>
  <si>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</si>
  <si>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</si>
  <si>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</si>
  <si>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</si>
  <si>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</si>
  <si>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</si>
  <si>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</si>
  <si>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</si>
  <si>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</si>
  <si>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</si>
  <si>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</si>
  <si>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</si>
  <si>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</si>
  <si>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</si>
  <si>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</si>
  <si>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</si>
  <si>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</si>
  <si>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</si>
  <si>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</si>
  <si>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</si>
  <si>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</si>
  <si>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</si>
  <si>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</si>
  <si>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</si>
  <si>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</si>
  <si>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</si>
  <si>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</si>
  <si>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</si>
  <si>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</si>
  <si>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</si>
  <si>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</si>
  <si>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</si>
  <si>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</si>
  <si>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</si>
  <si>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</si>
  <si>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</si>
  <si>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</si>
  <si>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</si>
  <si>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</si>
  <si>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</si>
  <si>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</si>
  <si>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</si>
  <si>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</si>
  <si>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</si>
  <si>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</si>
  <si>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</si>
  <si>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</si>
  <si>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</si>
  <si>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</si>
  <si>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</si>
  <si>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</si>
  <si>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</si>
  <si>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</si>
  <si>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</si>
  <si>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</si>
  <si>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</si>
  <si>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</si>
  <si>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</si>
  <si>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</si>
  <si>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</si>
  <si>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</si>
  <si>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</si>
  <si>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</si>
  <si>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</si>
  <si>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</si>
  <si>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</si>
  <si>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</si>
  <si>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</si>
  <si>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</si>
  <si>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</si>
  <si>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</si>
  <si>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</si>
  <si>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</si>
  <si>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</si>
  <si>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</si>
  <si>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</si>
  <si>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</si>
  <si>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</si>
  <si>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</si>
  <si>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</si>
  <si>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</si>
  <si>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</si>
  <si>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</si>
  <si>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</si>
  <si>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</si>
  <si>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</si>
  <si>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</si>
  <si>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</si>
  <si>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</si>
  <si>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</si>
  <si>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</si>
  <si>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</si>
  <si>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</si>
  <si>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</si>
  <si>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</si>
  <si>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</si>
  <si>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</si>
  <si>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</si>
  <si>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</si>
  <si>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</si>
  <si>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</si>
  <si>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</si>
  <si>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</si>
  <si>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</si>
  <si>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</si>
  <si>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</si>
  <si>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</si>
  <si>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</si>
  <si>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</si>
  <si>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</si>
  <si>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</si>
  <si>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</si>
  <si>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</si>
  <si>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</si>
  <si>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</si>
  <si>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</si>
  <si>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</si>
  <si>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</si>
  <si>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</si>
  <si>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</si>
  <si>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</si>
  <si>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</si>
  <si>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</si>
  <si>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</si>
  <si>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</si>
  <si>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</si>
  <si>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</si>
  <si>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</si>
  <si>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</si>
  <si>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</si>
  <si>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</si>
  <si>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</si>
  <si>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</si>
  <si>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</si>
  <si>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</si>
  <si>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</si>
  <si>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</si>
  <si>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</si>
  <si>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</si>
  <si>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</si>
  <si>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</si>
  <si>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</si>
  <si>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</si>
  <si>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</si>
  <si>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</si>
  <si>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</si>
  <si>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</si>
  <si>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</si>
  <si>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</si>
  <si>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</si>
  <si>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</si>
  <si>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</si>
  <si>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</si>
  <si>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</si>
  <si>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</si>
  <si>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</si>
  <si>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</si>
  <si>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</si>
  <si>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</si>
  <si>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</si>
  <si>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</si>
  <si>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</si>
  <si>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</si>
  <si>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</si>
  <si>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</si>
  <si>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</si>
  <si>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</si>
  <si>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</si>
  <si>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</si>
  <si>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</si>
  <si>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</si>
  <si>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</si>
  <si>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</si>
  <si>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</si>
  <si>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</si>
  <si>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</si>
  <si>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</si>
  <si>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</si>
  <si>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</si>
  <si>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</si>
  <si>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</si>
  <si>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</si>
  <si>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</si>
  <si>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</si>
  <si>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</si>
  <si>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</si>
  <si>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</si>
  <si>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</si>
  <si>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</si>
  <si>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</si>
  <si>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</si>
  <si>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</si>
  <si>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</si>
  <si>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</si>
  <si>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</si>
  <si>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</si>
  <si>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</si>
  <si>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</si>
  <si>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</si>
  <si>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</si>
  <si>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</si>
  <si>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</si>
  <si>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</si>
  <si>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</si>
  <si>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</si>
  <si>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</si>
  <si>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</si>
  <si>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</si>
  <si>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</si>
  <si>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</si>
  <si>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</si>
  <si>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</si>
  <si>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</si>
  <si>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</si>
  <si>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</si>
  <si>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</si>
  <si>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</si>
  <si>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</si>
  <si>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</si>
  <si>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</si>
  <si>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</si>
  <si>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</si>
  <si>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</si>
  <si>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</si>
  <si>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</si>
  <si>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</si>
  <si>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</si>
  <si>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</si>
  <si>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</si>
  <si>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</si>
  <si>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</si>
  <si>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</si>
  <si>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</si>
  <si>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</si>
  <si>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</si>
  <si>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</si>
  <si>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</si>
  <si>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</si>
  <si>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</si>
  <si>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</si>
  <si>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</si>
  <si>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</si>
  <si>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</si>
  <si>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</si>
  <si>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</si>
  <si>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</si>
  <si>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</si>
  <si>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</si>
  <si>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</si>
  <si>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</si>
  <si>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</si>
  <si>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</si>
  <si>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</si>
  <si>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</si>
  <si>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</si>
  <si>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</si>
  <si>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</si>
  <si>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</si>
  <si>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</si>
  <si>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</si>
  <si>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</si>
  <si>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</si>
  <si>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</si>
  <si>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</si>
  <si>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</si>
  <si>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</si>
  <si>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</si>
  <si>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</si>
  <si>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</si>
  <si>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</si>
  <si>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</si>
  <si>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</si>
  <si>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</si>
  <si>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</si>
  <si>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</si>
  <si>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</si>
  <si>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</si>
  <si>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</si>
  <si>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</si>
  <si>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</si>
  <si>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</si>
  <si>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</si>
  <si>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</si>
  <si>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</si>
  <si>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</si>
  <si>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</si>
  <si>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</si>
  <si>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</si>
  <si>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</si>
  <si>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</si>
  <si>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</si>
  <si>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</si>
  <si>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</si>
  <si>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</si>
  <si>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</si>
  <si>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</si>
  <si>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</si>
  <si>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</si>
  <si>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</si>
  <si>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</si>
  <si>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</si>
  <si>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</si>
  <si>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</si>
  <si>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</si>
  <si>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</si>
  <si>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</si>
  <si>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</si>
  <si>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</si>
  <si>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</si>
  <si>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</si>
  <si>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</si>
  <si>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</si>
  <si>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</si>
  <si>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</si>
  <si>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</si>
  <si>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</si>
  <si>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</si>
  <si>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</si>
  <si>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</si>
  <si>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</si>
  <si>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</si>
  <si>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</si>
  <si>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</si>
  <si>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</si>
  <si>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</si>
  <si>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</si>
  <si>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</si>
  <si>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</si>
  <si>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</si>
  <si>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</si>
  <si>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</si>
  <si>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</si>
  <si>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</si>
  <si>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</si>
  <si>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</si>
  <si>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</si>
  <si>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</si>
  <si>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</si>
  <si>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</si>
  <si>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</si>
  <si>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</si>
  <si>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</si>
  <si>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</si>
  <si>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</si>
  <si>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</si>
  <si>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</si>
  <si>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</si>
  <si>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</si>
  <si>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</si>
  <si>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</si>
  <si>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</si>
  <si>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</si>
  <si>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</si>
  <si>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</si>
  <si>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</si>
  <si>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</si>
  <si>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</si>
  <si>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</si>
  <si>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</si>
  <si>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</si>
  <si>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</si>
  <si>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</si>
  <si>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</si>
  <si>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</si>
  <si>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</si>
  <si>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</si>
  <si>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</si>
  <si>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</si>
  <si>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</si>
  <si>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</si>
  <si>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</si>
  <si>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</si>
  <si>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</si>
  <si>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</si>
  <si>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</si>
  <si>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</si>
  <si>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</si>
  <si>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</si>
  <si>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</si>
  <si>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</si>
  <si>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</si>
  <si>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</si>
  <si>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</si>
  <si>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</si>
  <si>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</si>
  <si>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</si>
  <si>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</si>
  <si>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</si>
  <si>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</si>
  <si>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</si>
  <si>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</si>
  <si>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</si>
  <si>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</si>
  <si>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</si>
  <si>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</si>
  <si>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</si>
  <si>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</si>
  <si>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</si>
  <si>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</si>
  <si>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</si>
  <si>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</si>
  <si>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</si>
  <si>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</si>
  <si>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</si>
  <si>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</si>
  <si>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</si>
  <si>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</si>
  <si>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</si>
  <si>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</si>
  <si>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</si>
  <si>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</si>
  <si>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</si>
  <si>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</si>
  <si>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</si>
  <si>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</si>
  <si>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</si>
  <si>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</si>
  <si>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</si>
  <si>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</si>
  <si>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</si>
  <si>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</si>
  <si>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</si>
  <si>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</si>
  <si>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</si>
  <si>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</si>
  <si>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</si>
  <si>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</si>
  <si>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</si>
  <si>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</si>
  <si>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</si>
  <si>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</si>
  <si>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</si>
  <si>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</si>
  <si>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</si>
  <si>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</si>
  <si>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</si>
  <si>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</si>
  <si>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</si>
  <si>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</si>
  <si>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</si>
  <si>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</si>
  <si>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</si>
  <si>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</si>
  <si>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</si>
  <si>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</si>
  <si>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</si>
  <si>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</si>
  <si>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</si>
  <si>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</si>
  <si>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</si>
  <si>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</si>
  <si>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</si>
  <si>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</si>
  <si>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</si>
  <si>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</si>
  <si>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</si>
  <si>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</si>
  <si>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</si>
  <si>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</si>
  <si>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</si>
  <si>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</si>
  <si>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</si>
  <si>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</si>
  <si>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</si>
  <si>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</si>
  <si>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</si>
  <si>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</si>
  <si>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</si>
  <si>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</si>
  <si>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</si>
  <si>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</si>
  <si>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</si>
  <si>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</si>
  <si>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</si>
  <si>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</si>
  <si>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</si>
  <si>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</si>
  <si>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</si>
  <si>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</si>
  <si>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</si>
  <si>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</si>
  <si>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</si>
  <si>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</si>
  <si>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</si>
  <si>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</si>
  <si>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</si>
  <si>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</si>
  <si>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</si>
  <si>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</si>
  <si>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</si>
  <si>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</si>
  <si>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</si>
  <si>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</si>
  <si>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</si>
  <si>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</si>
  <si>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</si>
  <si>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</si>
  <si>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</si>
  <si>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</si>
  <si>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</si>
  <si>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</si>
  <si>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</si>
  <si>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</si>
  <si>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</si>
  <si>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</si>
  <si>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</si>
  <si>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</si>
  <si>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</si>
  <si>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</si>
  <si>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</si>
  <si>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</si>
  <si>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</si>
  <si>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</si>
  <si>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</si>
  <si>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</si>
  <si>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</si>
  <si>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</si>
  <si>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</si>
  <si>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</si>
  <si>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</si>
  <si>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</si>
  <si>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</si>
  <si>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</si>
  <si>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</si>
  <si>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</si>
  <si>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</si>
  <si>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</si>
  <si>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</si>
  <si>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</si>
  <si>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</si>
  <si>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</si>
  <si>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</si>
  <si>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</si>
  <si>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</si>
  <si>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</si>
  <si>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</si>
  <si>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</si>
  <si>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</si>
  <si>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</si>
  <si>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</si>
  <si>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</si>
  <si>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</si>
  <si>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</si>
  <si>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</si>
  <si>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</si>
  <si>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</si>
  <si>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</si>
  <si>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</si>
  <si>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</si>
  <si>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</si>
  <si>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</si>
  <si>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</si>
  <si>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</si>
  <si>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</si>
  <si>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</si>
  <si>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</si>
  <si>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</si>
  <si>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</si>
  <si>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</si>
  <si>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</si>
  <si>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</si>
  <si>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</si>
  <si>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</si>
  <si>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</si>
  <si>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</si>
  <si>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</si>
  <si>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</si>
  <si>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</si>
  <si>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</si>
  <si>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</si>
  <si>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</si>
  <si>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</si>
  <si>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</si>
  <si>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</si>
  <si>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</si>
  <si>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</si>
  <si>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</si>
  <si>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</si>
  <si>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</si>
  <si>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</si>
  <si>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</si>
  <si>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</si>
  <si>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</si>
  <si>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</si>
  <si>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</si>
  <si>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</si>
  <si>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</si>
  <si>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</si>
  <si>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</si>
  <si>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</si>
  <si>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</si>
  <si>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</si>
  <si>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</si>
  <si>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</si>
  <si>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</si>
  <si>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</si>
  <si>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</si>
  <si>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</si>
  <si>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</si>
  <si>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</si>
  <si>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</si>
  <si>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</si>
  <si>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</si>
  <si>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</si>
  <si>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</si>
  <si>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</si>
  <si>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</si>
  <si>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</si>
  <si>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</si>
  <si>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</si>
  <si>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</si>
  <si>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</si>
  <si>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</si>
  <si>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</si>
  <si>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</si>
  <si>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</si>
  <si>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</si>
  <si>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</si>
  <si>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</si>
  <si>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</si>
  <si>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</si>
  <si>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</si>
  <si>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</si>
  <si>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</si>
  <si>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</si>
  <si>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</si>
  <si>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</si>
  <si>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</si>
  <si>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</si>
  <si>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</si>
  <si>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</si>
  <si>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</si>
  <si>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</si>
  <si>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</si>
  <si>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</si>
  <si>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</si>
  <si>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</si>
  <si>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</si>
  <si>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</si>
  <si>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</si>
  <si>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</si>
  <si>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</si>
  <si>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</si>
  <si>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</si>
  <si>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</si>
  <si>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</si>
  <si>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</si>
  <si>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</si>
  <si>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</si>
  <si>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</si>
  <si>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</si>
  <si>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</si>
  <si>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</si>
  <si>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</si>
  <si>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</si>
  <si>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</si>
  <si>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</si>
  <si>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</si>
  <si>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</si>
  <si>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</si>
  <si>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</si>
  <si>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</si>
  <si>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</si>
  <si>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</si>
  <si>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</si>
  <si>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</si>
  <si>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</si>
  <si>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</si>
  <si>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</si>
  <si>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</si>
  <si>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</si>
  <si>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</si>
  <si>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</si>
  <si>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</si>
  <si>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</si>
  <si>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</si>
  <si>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</si>
  <si>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</si>
  <si>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</si>
  <si>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</si>
  <si>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</si>
  <si>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</si>
  <si>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</si>
  <si>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</si>
  <si>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</si>
  <si>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</si>
  <si>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</si>
  <si>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</si>
  <si>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</si>
  <si>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</si>
  <si>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</si>
  <si>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</si>
  <si>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</si>
  <si>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</si>
  <si>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</si>
  <si>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</si>
  <si>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</si>
  <si>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</si>
  <si>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</si>
  <si>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</si>
  <si>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</si>
  <si>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</si>
  <si>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</si>
  <si>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</si>
  <si>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</si>
  <si>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</si>
  <si>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</si>
  <si>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</si>
  <si>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</si>
  <si>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</si>
  <si>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</si>
  <si>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</si>
  <si>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</si>
  <si>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</si>
  <si>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</si>
  <si>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</si>
  <si>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</si>
  <si>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</si>
  <si>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</si>
  <si>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</si>
  <si>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</si>
  <si>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</si>
  <si>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</si>
  <si>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</si>
  <si>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</si>
  <si>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</si>
  <si>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</si>
  <si>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</si>
  <si>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</si>
  <si>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</si>
  <si>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</si>
  <si>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</si>
  <si>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</si>
  <si>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</si>
  <si>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</si>
  <si>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</si>
  <si>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</si>
  <si>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</si>
  <si>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</si>
  <si>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</si>
  <si>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</si>
  <si>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</si>
  <si>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</si>
  <si>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</si>
  <si>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</si>
  <si>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</si>
  <si>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</si>
  <si>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</si>
  <si>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</si>
  <si>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</si>
  <si>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</si>
  <si>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</si>
  <si>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</si>
  <si>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</si>
  <si>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</si>
  <si>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</si>
  <si>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</si>
  <si>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</si>
  <si>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</si>
  <si>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</si>
  <si>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</si>
  <si>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</si>
  <si>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</si>
  <si>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</si>
  <si>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</si>
  <si>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</si>
  <si>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</si>
  <si>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</si>
  <si>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</si>
  <si>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</si>
  <si>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</si>
  <si>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</si>
  <si>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</si>
  <si>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</si>
  <si>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</si>
  <si>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</si>
  <si>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</si>
  <si>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</si>
  <si>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</si>
  <si>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</si>
  <si>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</si>
  <si>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</si>
  <si>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</si>
  <si>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</si>
  <si>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</si>
  <si>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</si>
  <si>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</si>
  <si>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</si>
  <si>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</si>
  <si>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</si>
  <si>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</si>
  <si>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</si>
  <si>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</si>
  <si>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</si>
  <si>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</si>
  <si>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</si>
  <si>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</si>
  <si>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</si>
  <si>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</si>
  <si>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</si>
  <si>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</si>
  <si>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</si>
  <si>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</si>
  <si>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</si>
  <si>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</si>
  <si>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</si>
  <si>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</si>
  <si>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</si>
  <si>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</si>
  <si>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</si>
  <si>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</si>
  <si>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</si>
  <si>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</si>
  <si>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</si>
  <si>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</si>
  <si>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</si>
  <si>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</si>
  <si>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</si>
  <si>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</si>
  <si>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</si>
  <si>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</si>
  <si>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</si>
  <si>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</si>
  <si>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</si>
  <si>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</si>
  <si>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</si>
  <si>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</si>
  <si>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</si>
  <si>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</si>
  <si>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</si>
  <si>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</si>
  <si>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</si>
  <si>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</si>
  <si>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</si>
  <si>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</si>
  <si>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</si>
  <si>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</si>
  <si>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</si>
  <si>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</si>
  <si>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</si>
  <si>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</si>
  <si>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</si>
  <si>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</si>
  <si>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</si>
  <si>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</si>
  <si>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</si>
  <si>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</si>
  <si>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</si>
  <si>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</si>
  <si>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</si>
  <si>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</si>
  <si>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</si>
  <si>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</si>
  <si>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</si>
  <si>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</si>
  <si>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</si>
  <si>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</si>
  <si>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</si>
  <si>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</si>
  <si>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</si>
  <si>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</si>
  <si>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</si>
  <si>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</si>
  <si>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</si>
  <si>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</si>
  <si>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</si>
  <si>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</si>
  <si>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</si>
  <si>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</si>
  <si>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</si>
  <si>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</si>
  <si>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</si>
  <si>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</si>
  <si>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</si>
  <si>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</si>
  <si>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</si>
  <si>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</si>
  <si>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</si>
  <si>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</si>
  <si>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</si>
  <si>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</si>
  <si>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</si>
  <si>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</si>
  <si>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</si>
  <si>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</si>
  <si>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</si>
  <si>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</si>
  <si>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</si>
  <si>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</si>
  <si>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</si>
  <si>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</si>
  <si>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</si>
  <si>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</si>
  <si>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</si>
  <si>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</si>
  <si>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</si>
  <si>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</si>
  <si>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</si>
  <si>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</si>
  <si>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</si>
  <si>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</si>
  <si>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</si>
  <si>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</si>
  <si>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</si>
  <si>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</si>
  <si>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</si>
  <si>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</si>
  <si>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</si>
  <si>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</si>
  <si>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</si>
  <si>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</si>
  <si>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</si>
  <si>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</si>
  <si>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</si>
  <si>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</si>
  <si>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</si>
  <si>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</si>
  <si>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</si>
  <si>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</si>
  <si>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</si>
  <si>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</si>
  <si>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</si>
  <si>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</si>
  <si>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</si>
  <si>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</si>
  <si>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</si>
  <si>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</si>
  <si>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</si>
  <si>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</si>
  <si>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</si>
  <si>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</si>
  <si>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</si>
  <si>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</si>
  <si>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</si>
  <si>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</si>
  <si>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</si>
  <si>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</si>
  <si>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</si>
  <si>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</si>
  <si>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</si>
  <si>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</si>
  <si>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</si>
  <si>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</si>
  <si>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</si>
  <si>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</si>
  <si>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</si>
  <si>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</si>
  <si>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</si>
  <si>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</si>
  <si>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</si>
  <si>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</si>
  <si>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</si>
  <si>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</si>
  <si>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</si>
  <si>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</si>
  <si>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</si>
  <si>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</si>
  <si>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</si>
  <si>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</si>
  <si>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</si>
  <si>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</si>
  <si>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</si>
  <si>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</si>
  <si>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</si>
  <si>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</si>
  <si>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</si>
  <si>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</si>
  <si>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</si>
  <si>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</si>
  <si>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</si>
  <si>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</si>
  <si>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</si>
  <si>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</si>
  <si>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</si>
  <si>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</si>
  <si>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</si>
  <si>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</si>
  <si>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</si>
  <si>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</si>
  <si>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</si>
  <si>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</si>
  <si>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</si>
  <si>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</si>
  <si>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</si>
  <si>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</si>
  <si>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</si>
  <si>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</si>
  <si>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</si>
  <si>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</si>
  <si>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</si>
  <si>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</si>
  <si>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</si>
  <si>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</si>
  <si>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</si>
  <si>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</si>
  <si>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</si>
  <si>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</si>
  <si>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</si>
  <si>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</si>
  <si>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</si>
  <si>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</si>
  <si>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</si>
  <si>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</si>
  <si>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</si>
  <si>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</si>
  <si>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</si>
  <si>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</si>
  <si>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</si>
  <si>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</si>
  <si>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</si>
  <si>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</si>
  <si>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</si>
  <si>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</si>
  <si>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</si>
  <si>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</si>
  <si>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</si>
  <si>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</si>
  <si>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</si>
  <si>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</si>
  <si>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</si>
  <si>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</si>
  <si>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</si>
  <si>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</si>
  <si>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</si>
  <si>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</si>
  <si>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</si>
  <si>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</si>
  <si>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</si>
  <si>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</si>
  <si>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</si>
  <si>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</si>
  <si>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</si>
  <si>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</si>
  <si>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</si>
  <si>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</si>
  <si>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</si>
  <si>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</si>
  <si>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</si>
  <si>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</si>
  <si>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</si>
  <si>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</si>
  <si>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</si>
  <si>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</si>
  <si>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</si>
  <si>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</si>
  <si>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</si>
  <si>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</si>
  <si>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</si>
  <si>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</si>
  <si>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</si>
  <si>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</si>
  <si>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</si>
  <si>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</si>
  <si>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</si>
  <si>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</si>
  <si>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</si>
  <si>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</si>
  <si>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</si>
  <si>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</si>
  <si>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</si>
  <si>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</si>
  <si>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</si>
  <si>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</si>
  <si>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</si>
  <si>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</si>
  <si>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</si>
  <si>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</si>
  <si>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</si>
  <si>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</si>
  <si>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</si>
  <si>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</si>
  <si>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</si>
  <si>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</si>
  <si>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</si>
  <si>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</si>
  <si>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</si>
  <si>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</si>
  <si>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</si>
  <si>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</si>
  <si>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</si>
  <si>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</si>
  <si>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</si>
  <si>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</si>
  <si>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</si>
  <si>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</si>
  <si>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</si>
  <si>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</si>
  <si>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</si>
  <si>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</si>
  <si>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</si>
  <si>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</si>
  <si>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</si>
  <si>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</si>
  <si>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</si>
  <si>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</si>
  <si>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</si>
  <si>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</si>
  <si>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</si>
  <si>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</si>
  <si>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</si>
  <si>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</si>
  <si>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</si>
  <si>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</si>
  <si>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</si>
  <si>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</si>
  <si>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</si>
  <si>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</si>
  <si>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</si>
  <si>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</si>
  <si>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</si>
  <si>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</si>
  <si>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</si>
  <si>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</si>
  <si>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</si>
  <si>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</si>
  <si>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</si>
  <si>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</si>
  <si>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</si>
  <si>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</si>
  <si>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</si>
  <si>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</si>
  <si>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</si>
  <si>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</si>
  <si>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</si>
  <si>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</si>
  <si>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</si>
  <si>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</si>
  <si>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</si>
  <si>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</si>
  <si>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</si>
  <si>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</si>
  <si>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</si>
  <si>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</si>
  <si>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</si>
  <si>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</si>
  <si>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</si>
  <si>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</si>
  <si>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</si>
  <si>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</si>
  <si>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</si>
  <si>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</si>
  <si>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</si>
  <si>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</si>
  <si>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</si>
  <si>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</si>
  <si>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</si>
  <si>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</si>
  <si>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</si>
  <si>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</si>
  <si>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</si>
  <si>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</si>
  <si>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</si>
  <si>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</si>
  <si>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</si>
  <si>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</si>
  <si>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</si>
  <si>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</si>
  <si>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</si>
  <si>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</si>
  <si>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</si>
  <si>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</si>
  <si>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</si>
  <si>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</si>
  <si>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</si>
  <si>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</si>
  <si>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</si>
  <si>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</si>
  <si>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</si>
  <si>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</si>
  <si>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</si>
  <si>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</si>
  <si>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</si>
  <si>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</si>
  <si>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</si>
  <si>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</si>
  <si>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</si>
  <si>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</si>
  <si>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</si>
  <si>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</si>
  <si>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</si>
  <si>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</si>
  <si>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</si>
  <si>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</si>
  <si>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</si>
  <si>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</si>
  <si>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</si>
  <si>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</si>
  <si>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</si>
  <si>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</si>
  <si>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</si>
  <si>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</si>
  <si>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</si>
  <si>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</si>
  <si>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</si>
  <si>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</si>
  <si>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</si>
  <si>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</si>
  <si>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</si>
  <si>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</si>
  <si>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</si>
  <si>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</si>
  <si>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</si>
  <si>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</si>
  <si>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</si>
  <si>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</si>
  <si>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</si>
  <si>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</si>
  <si>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</si>
  <si>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</si>
  <si>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</si>
  <si>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</si>
  <si>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</si>
  <si>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</si>
  <si>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</si>
  <si>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</si>
  <si>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</si>
  <si>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</si>
  <si>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</si>
  <si>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</si>
  <si>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</si>
  <si>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</si>
  <si>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</si>
  <si>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</si>
  <si>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</si>
  <si>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</si>
  <si>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</si>
  <si>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</si>
  <si>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</si>
  <si>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</si>
  <si>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</si>
  <si>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</si>
  <si>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</si>
  <si>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</si>
  <si>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</si>
  <si>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</si>
  <si>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</si>
  <si>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</si>
  <si>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</si>
  <si>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</si>
  <si>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</si>
  <si>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</si>
  <si>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</si>
  <si>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</si>
  <si>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</si>
  <si>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</si>
  <si>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</si>
  <si>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</si>
  <si>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</si>
  <si>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</si>
  <si>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</si>
  <si>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</si>
  <si>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</si>
  <si>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</si>
  <si>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</si>
  <si>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</si>
  <si>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</si>
  <si>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</si>
  <si>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</si>
  <si>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</si>
  <si>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</si>
  <si>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</si>
  <si>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</si>
  <si>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</si>
  <si>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</si>
  <si>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</si>
  <si>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</si>
  <si>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</si>
  <si>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</si>
  <si>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</si>
  <si>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</si>
  <si>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</si>
  <si>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</si>
  <si>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</si>
  <si>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</si>
  <si>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</si>
  <si>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</si>
  <si>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</si>
  <si>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</si>
  <si>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</si>
  <si>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</si>
  <si>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</si>
  <si>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</si>
  <si>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</si>
  <si>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</si>
  <si>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</si>
  <si>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</si>
  <si>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</si>
  <si>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</si>
  <si>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</si>
  <si>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</si>
  <si>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</si>
  <si>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</si>
  <si>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</si>
  <si>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</si>
  <si>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</si>
  <si>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</si>
  <si>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</si>
  <si>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</si>
  <si>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</si>
  <si>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</si>
  <si>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</si>
  <si>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</si>
  <si>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</si>
  <si>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</si>
  <si>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</si>
  <si>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</si>
  <si>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</si>
  <si>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</si>
  <si>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</si>
  <si>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</si>
  <si>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</si>
  <si>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</si>
  <si>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</si>
  <si>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</si>
  <si>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</si>
  <si>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</si>
  <si>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</si>
  <si>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</si>
  <si>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</si>
  <si>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</si>
  <si>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</si>
  <si>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</si>
  <si>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</si>
  <si>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</si>
  <si>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</si>
  <si>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</si>
  <si>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</si>
  <si>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</si>
  <si>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</si>
  <si>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</si>
  <si>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</si>
  <si>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</si>
  <si>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</si>
  <si>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</si>
  <si>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</si>
  <si>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</si>
  <si>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</si>
  <si>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</si>
  <si>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</si>
  <si>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</si>
  <si>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</si>
  <si>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</si>
  <si>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</si>
  <si>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</si>
  <si>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</si>
  <si>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</si>
  <si>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</si>
  <si>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</si>
  <si>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</si>
  <si>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</si>
  <si>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</si>
  <si>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</si>
  <si>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</si>
  <si>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</si>
  <si>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</si>
  <si>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</si>
  <si>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</si>
  <si>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</si>
  <si>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</si>
  <si>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</si>
  <si>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</si>
  <si>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</si>
  <si>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</si>
  <si>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</si>
  <si>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</si>
  <si>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</si>
  <si>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</si>
  <si>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</si>
  <si>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</si>
  <si>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</si>
  <si>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</si>
  <si>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</si>
  <si>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</si>
  <si>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</si>
  <si>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</si>
  <si>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</si>
  <si>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</si>
  <si>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</si>
  <si>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</si>
  <si>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</si>
  <si>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</si>
  <si>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</si>
  <si>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</si>
  <si>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</si>
  <si>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</si>
  <si>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</si>
  <si>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</si>
  <si>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</si>
  <si>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</si>
  <si>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</si>
  <si>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</si>
  <si>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</si>
  <si>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</si>
  <si>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</si>
  <si>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</si>
  <si>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</si>
  <si>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</si>
  <si>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</si>
  <si>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</si>
  <si>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</si>
  <si>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</si>
  <si>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</si>
  <si>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</si>
  <si>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</si>
  <si>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</si>
  <si>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</si>
  <si>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</si>
  <si>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</si>
  <si>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</si>
  <si>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</si>
  <si>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</si>
  <si>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</si>
  <si>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</si>
  <si>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</si>
  <si>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</si>
  <si>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</si>
  <si>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</si>
  <si>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</si>
  <si>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</si>
  <si>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</si>
  <si>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</si>
  <si>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</si>
  <si>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</si>
  <si>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</si>
  <si>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</si>
  <si>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</si>
  <si>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</si>
  <si>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</si>
  <si>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</si>
  <si>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</si>
  <si>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</si>
  <si>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</si>
  <si>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</si>
  <si>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</si>
  <si>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</si>
  <si>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</si>
  <si>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</si>
  <si>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</si>
  <si>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</si>
  <si>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</si>
  <si>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</si>
  <si>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</si>
  <si>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</si>
  <si>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</si>
  <si>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</si>
  <si>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</si>
  <si>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</si>
  <si>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</si>
  <si>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</si>
  <si>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</si>
  <si>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</si>
  <si>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</si>
  <si>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</si>
  <si>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</si>
  <si>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</si>
  <si>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</si>
  <si>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</si>
  <si>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</si>
  <si>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</si>
  <si>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</si>
  <si>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</si>
  <si>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</si>
  <si>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</si>
  <si>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</si>
  <si>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</si>
  <si>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</si>
  <si>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</si>
  <si>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</si>
  <si>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</si>
  <si>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</si>
  <si>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</si>
  <si>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</si>
  <si>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</si>
  <si>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</si>
  <si>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</si>
  <si>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</si>
  <si>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</si>
  <si>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</si>
  <si>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</si>
  <si>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</si>
  <si>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</si>
  <si>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</si>
  <si>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</si>
  <si>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</si>
  <si>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</si>
  <si>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</si>
  <si>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</si>
  <si>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</si>
  <si>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</si>
  <si>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</si>
  <si>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</si>
  <si>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</si>
  <si>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</si>
  <si>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</si>
  <si>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</si>
  <si>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</si>
  <si>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</si>
  <si>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</si>
  <si>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</si>
  <si>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</si>
  <si>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</si>
  <si>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</si>
  <si>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</si>
  <si>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</si>
  <si>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</si>
  <si>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</si>
  <si>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</si>
  <si>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</si>
  <si>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</si>
  <si>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</si>
  <si>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</si>
  <si>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</si>
  <si>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</si>
  <si>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</si>
  <si>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</si>
  <si>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</si>
  <si>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</si>
  <si>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</si>
  <si>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</si>
  <si>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</si>
  <si>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</si>
  <si>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</si>
  <si>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</si>
  <si>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</si>
  <si>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</si>
  <si>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</si>
  <si>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</si>
  <si>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</si>
  <si>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</si>
  <si>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</si>
  <si>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</si>
  <si>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</si>
  <si>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</si>
  <si>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</si>
  <si>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</si>
  <si>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</si>
  <si>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</si>
  <si>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</si>
  <si>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</si>
  <si>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</si>
  <si>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</si>
  <si>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</si>
  <si>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</si>
  <si>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</si>
  <si>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</si>
  <si>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</si>
  <si>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</si>
  <si>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</si>
  <si>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</si>
  <si>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</si>
  <si>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</si>
  <si>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</si>
  <si>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</si>
  <si>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</si>
  <si>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</si>
  <si>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</si>
  <si>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</si>
  <si>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</si>
  <si>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</si>
  <si>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</si>
  <si>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</si>
  <si>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</si>
  <si>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</si>
  <si>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</si>
  <si>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</si>
  <si>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</si>
  <si>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</si>
  <si>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</si>
  <si>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</si>
  <si>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</si>
  <si>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</si>
  <si>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</si>
  <si>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</si>
  <si>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</si>
  <si>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</si>
  <si>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</si>
  <si>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</si>
  <si>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</si>
  <si>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</si>
  <si>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</si>
  <si>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</si>
  <si>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</si>
  <si>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</si>
  <si>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</si>
  <si>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</si>
  <si>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</si>
  <si>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</si>
  <si>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</si>
  <si>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</si>
  <si>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</si>
  <si>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</si>
  <si>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</si>
  <si>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</si>
  <si>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</si>
  <si>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</si>
  <si>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</si>
  <si>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</si>
  <si>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</si>
  <si>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</si>
  <si>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</si>
  <si>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</si>
  <si>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</si>
  <si>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</si>
  <si>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</si>
  <si>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</si>
  <si>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</si>
  <si>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</si>
  <si>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</si>
  <si>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</si>
  <si>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</si>
  <si>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</si>
  <si>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</si>
  <si>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</si>
  <si>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</si>
  <si>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</si>
  <si>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</si>
  <si>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</si>
  <si>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</si>
  <si>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</si>
  <si>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</si>
  <si>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</si>
  <si>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</si>
  <si>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</si>
  <si>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</si>
  <si>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</si>
  <si>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</si>
  <si>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</si>
  <si>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</si>
  <si>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</si>
  <si>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</si>
  <si>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</si>
  <si>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</si>
  <si>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</si>
  <si>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</si>
  <si>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</si>
  <si>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</si>
  <si>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</si>
  <si>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</si>
  <si>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</si>
  <si>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</si>
  <si>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</si>
  <si>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</si>
  <si>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</si>
  <si>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</si>
  <si>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</si>
  <si>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</si>
  <si>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</si>
  <si>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</si>
  <si>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</si>
  <si>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</si>
  <si>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</si>
  <si>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</si>
  <si>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</si>
  <si>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</si>
  <si>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</si>
  <si>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</si>
  <si>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</si>
  <si>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</si>
  <si>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</si>
  <si>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</si>
  <si>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</si>
  <si>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</si>
  <si>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</si>
  <si>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</si>
  <si>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</si>
  <si>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</si>
  <si>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</si>
  <si>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</si>
  <si>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</si>
  <si>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</si>
  <si>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</si>
  <si>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</si>
  <si>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</si>
  <si>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</si>
  <si>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</si>
  <si>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</si>
  <si>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</si>
  <si>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</si>
  <si>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</si>
  <si>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</si>
  <si>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</si>
  <si>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</si>
  <si>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</si>
  <si>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</si>
  <si>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</si>
  <si>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</si>
  <si>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</si>
  <si>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</si>
  <si>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</si>
  <si>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</si>
  <si>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</si>
  <si>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</si>
  <si>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</si>
  <si>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</si>
  <si>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</si>
  <si>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</si>
  <si>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</si>
  <si>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</si>
  <si>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</si>
  <si>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</si>
  <si>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</si>
  <si>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</si>
  <si>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</si>
  <si>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</si>
  <si>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</si>
  <si>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</si>
  <si>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</si>
  <si>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</si>
  <si>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</si>
  <si>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</si>
  <si>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</si>
  <si>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</si>
  <si>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</si>
  <si>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</si>
  <si>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</si>
  <si>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</si>
  <si>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</si>
  <si>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</si>
  <si>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</si>
  <si>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</si>
  <si>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</si>
  <si>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</si>
  <si>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</si>
  <si>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</si>
  <si>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</si>
  <si>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</si>
  <si>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</si>
  <si>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</si>
  <si>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</si>
  <si>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</si>
  <si>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</si>
  <si>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</si>
  <si>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</si>
  <si>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</si>
  <si>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</si>
  <si>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</si>
  <si>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</si>
  <si>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</si>
  <si>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</si>
  <si>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</si>
  <si>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</si>
  <si>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</si>
  <si>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</si>
  <si>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</si>
  <si>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</si>
  <si>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</si>
  <si>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</si>
  <si>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</si>
  <si>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</si>
  <si>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</si>
  <si>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</si>
  <si>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</si>
  <si>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</si>
  <si>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</si>
  <si>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</si>
  <si>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</si>
  <si>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</si>
  <si>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</si>
  <si>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</si>
  <si>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</si>
  <si>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</si>
  <si>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</si>
  <si>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</si>
  <si>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</si>
  <si>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</si>
  <si>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</si>
  <si>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</si>
  <si>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</si>
  <si>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</si>
  <si>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</si>
  <si>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</si>
  <si>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</si>
  <si>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</si>
  <si>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</si>
  <si>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</si>
  <si>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</si>
  <si>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</si>
  <si>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</si>
  <si>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</si>
  <si>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</si>
  <si>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</si>
  <si>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</si>
  <si>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</si>
  <si>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</si>
  <si>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</si>
  <si>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</si>
  <si>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</si>
  <si>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</si>
  <si>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</si>
  <si>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</si>
  <si>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</si>
  <si>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</si>
  <si>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</si>
  <si>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</si>
  <si>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</si>
  <si>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</si>
  <si>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</si>
  <si>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</si>
  <si>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</si>
  <si>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</si>
  <si>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</si>
  <si>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</si>
  <si>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</si>
  <si>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</si>
  <si>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</si>
  <si>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</si>
  <si>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</si>
  <si>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</si>
  <si>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</si>
  <si>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</si>
  <si>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</si>
  <si>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</si>
  <si>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</si>
  <si>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</si>
  <si>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</si>
  <si>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</si>
  <si>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</si>
  <si>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</si>
  <si>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</si>
  <si>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</si>
  <si>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</si>
  <si>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</si>
  <si>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</si>
  <si>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</si>
  <si>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</si>
  <si>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</si>
  <si>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</si>
  <si>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</si>
  <si>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</si>
  <si>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</si>
  <si>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</si>
  <si>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</si>
  <si>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</si>
  <si>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</si>
  <si>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</si>
  <si>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</si>
  <si>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</si>
  <si>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</si>
  <si>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</si>
  <si>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</si>
  <si>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</si>
  <si>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</si>
  <si>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</si>
  <si>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</si>
  <si>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</si>
  <si>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</si>
  <si>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</si>
  <si>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</si>
  <si>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</si>
  <si>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</si>
  <si>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</si>
  <si>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</si>
  <si>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</si>
  <si>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</si>
  <si>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</si>
  <si>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</si>
  <si>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</si>
  <si>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</si>
  <si>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</si>
  <si>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</si>
  <si>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</si>
  <si>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</si>
  <si>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</si>
  <si>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</si>
  <si>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</si>
  <si>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</si>
  <si>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</si>
  <si>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</si>
  <si>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</si>
  <si>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</si>
  <si>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</si>
  <si>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</si>
  <si>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</si>
  <si>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</si>
  <si>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</si>
  <si>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</si>
  <si>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</si>
  <si>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</si>
  <si>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</si>
  <si>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</si>
  <si>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</si>
  <si>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</si>
  <si>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</si>
  <si>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</si>
  <si>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</si>
  <si>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</si>
  <si>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</si>
  <si>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</si>
  <si>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</si>
  <si>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</si>
  <si>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</si>
  <si>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</si>
  <si>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</si>
  <si>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</si>
  <si>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</si>
  <si>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</si>
  <si>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</si>
  <si>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</si>
  <si>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</si>
  <si>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</si>
  <si>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</si>
  <si>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</si>
  <si>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</si>
  <si>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</si>
  <si>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</si>
  <si>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</si>
  <si>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</si>
  <si>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</si>
  <si>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</si>
  <si>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</si>
  <si>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</si>
  <si>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</si>
  <si>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</si>
  <si>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</si>
  <si>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</si>
  <si>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</si>
  <si>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</si>
  <si>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</si>
  <si>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</si>
  <si>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</si>
  <si>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</si>
  <si>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</si>
  <si>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</si>
  <si>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</si>
  <si>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</si>
  <si>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</si>
  <si>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</si>
  <si>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</si>
  <si>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</si>
  <si>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</si>
  <si>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</si>
  <si>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</si>
  <si>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</si>
  <si>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</si>
  <si>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</si>
  <si>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</si>
  <si>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</si>
  <si>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</si>
  <si>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</si>
  <si>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</si>
  <si>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</si>
  <si>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</si>
  <si>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</si>
  <si>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</si>
  <si>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</si>
  <si>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</si>
  <si>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</si>
  <si>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</si>
  <si>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</si>
  <si>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</si>
  <si>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</si>
  <si>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</si>
  <si>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</si>
  <si>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</si>
  <si>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</si>
  <si>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</si>
  <si>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</si>
  <si>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</si>
  <si>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</si>
  <si>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</si>
  <si>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</si>
  <si>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</si>
  <si>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</si>
  <si>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</si>
  <si>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</si>
  <si>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</si>
  <si>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</si>
  <si>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</si>
  <si>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</si>
  <si>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</si>
  <si>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</si>
  <si>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</si>
  <si>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</si>
  <si>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</si>
  <si>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</si>
  <si>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</si>
  <si>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</si>
  <si>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</si>
  <si>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</si>
  <si>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</si>
  <si>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</si>
  <si>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</si>
  <si>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</si>
  <si>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</si>
  <si>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</si>
  <si>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</si>
  <si>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</si>
  <si>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</si>
  <si>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</si>
  <si>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</si>
  <si>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</si>
  <si>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</si>
  <si>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</si>
  <si>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</si>
  <si>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</si>
  <si>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</si>
  <si>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</si>
  <si>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</si>
  <si>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</si>
  <si>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</si>
  <si>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</si>
  <si>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</si>
  <si>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</si>
  <si>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</si>
  <si>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</si>
  <si>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</si>
  <si>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</si>
  <si>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</si>
  <si>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</si>
  <si>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</si>
  <si>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</si>
  <si>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</si>
  <si>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</si>
  <si>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</si>
  <si>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</si>
  <si>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</si>
  <si>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</si>
  <si>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</si>
  <si>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</si>
  <si>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</si>
  <si>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</si>
  <si>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</si>
  <si>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</si>
  <si>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</si>
  <si>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</si>
  <si>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</si>
  <si>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</si>
  <si>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</si>
  <si>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</si>
  <si>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</si>
  <si>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</si>
  <si>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</si>
  <si>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</si>
  <si>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</si>
  <si>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</si>
  <si>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</si>
  <si>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</si>
  <si>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</si>
  <si>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</si>
  <si>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</si>
  <si>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</si>
  <si>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</si>
  <si>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</si>
  <si>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</si>
  <si>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</si>
  <si>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</si>
  <si>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</si>
  <si>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</si>
  <si>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</si>
  <si>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</si>
  <si>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</si>
  <si>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</si>
  <si>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</si>
  <si>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</si>
  <si>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</si>
  <si>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</si>
  <si>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</si>
  <si>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</si>
  <si>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</si>
  <si>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</si>
  <si>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</si>
  <si>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</si>
  <si>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</si>
  <si>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</si>
  <si>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</si>
  <si>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</si>
  <si>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</si>
  <si>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</si>
  <si>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</si>
  <si>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</si>
  <si>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</si>
  <si>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</si>
  <si>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</si>
  <si>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</si>
  <si>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</si>
  <si>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</si>
  <si>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</si>
  <si>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</si>
  <si>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</si>
  <si>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</si>
  <si>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</si>
  <si>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</si>
  <si>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</si>
  <si>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</si>
  <si>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</si>
  <si>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</si>
  <si>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</si>
  <si>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</si>
  <si>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</si>
  <si>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</si>
  <si>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</si>
  <si>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</si>
  <si>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</si>
  <si>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</si>
  <si>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</si>
  <si>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</si>
  <si>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</si>
  <si>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</si>
  <si>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</si>
  <si>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</si>
  <si>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</si>
  <si>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</si>
  <si>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</si>
  <si>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</si>
  <si>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</si>
  <si>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</si>
  <si>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</si>
  <si>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</si>
  <si>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</si>
  <si>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</si>
  <si>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</si>
  <si>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</si>
  <si>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</si>
  <si>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</si>
  <si>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</si>
  <si>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</si>
  <si>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</si>
  <si>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</si>
  <si>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</si>
  <si>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</si>
  <si>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</si>
  <si>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</si>
  <si>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</si>
  <si>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</si>
  <si>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</si>
  <si>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</si>
  <si>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</si>
  <si>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</si>
  <si>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</si>
  <si>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</si>
  <si>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</si>
  <si>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</si>
  <si>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</si>
  <si>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</si>
  <si>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</si>
  <si>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</si>
  <si>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</si>
  <si>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</si>
  <si>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</si>
  <si>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</si>
  <si>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</si>
  <si>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</si>
  <si>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</si>
  <si>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</si>
  <si>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</si>
  <si>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</si>
  <si>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</si>
  <si>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</si>
  <si>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</si>
  <si>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</si>
  <si>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</si>
  <si>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</si>
  <si>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</si>
  <si>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</si>
  <si>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</si>
  <si>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</si>
  <si>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</si>
  <si>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</si>
  <si>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</si>
  <si>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</si>
  <si>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</si>
  <si>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</si>
  <si>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</si>
  <si>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</si>
  <si>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</si>
  <si>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</si>
  <si>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</si>
  <si>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</si>
  <si>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</si>
  <si>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</si>
  <si>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</si>
  <si>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</si>
  <si>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</si>
  <si>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</si>
  <si>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</si>
  <si>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</si>
  <si>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</si>
  <si>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</si>
  <si>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</si>
  <si>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</si>
  <si>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</si>
  <si>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</si>
  <si>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</si>
  <si>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</si>
  <si>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</si>
  <si>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</si>
  <si>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</si>
  <si>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</si>
  <si>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</si>
  <si>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</si>
  <si>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</si>
  <si>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</si>
  <si>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</si>
  <si>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</si>
  <si>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</si>
  <si>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</si>
  <si>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</si>
  <si>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</si>
  <si>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</si>
  <si>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</si>
  <si>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</si>
  <si>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</si>
  <si>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</si>
  <si>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</si>
  <si>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</si>
  <si>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</si>
  <si>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</si>
  <si>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</si>
  <si>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</si>
  <si>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</si>
  <si>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</si>
  <si>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</si>
  <si>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</si>
  <si>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</si>
  <si>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</si>
  <si>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</si>
  <si>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</si>
  <si>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</si>
  <si>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</si>
  <si>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</si>
  <si>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</si>
  <si>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</si>
  <si>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</si>
  <si>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</si>
  <si>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</si>
  <si>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</si>
  <si>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</si>
  <si>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</si>
  <si>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</si>
  <si>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</si>
  <si>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</si>
  <si>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</si>
  <si>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</si>
  <si>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</si>
  <si>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</si>
  <si>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</si>
  <si>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</si>
  <si>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</si>
  <si>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</si>
  <si>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</si>
  <si>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</si>
  <si>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</si>
  <si>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</si>
  <si>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</si>
  <si>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</si>
  <si>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</si>
  <si>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</si>
  <si>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</si>
  <si>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</si>
  <si>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</si>
  <si>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</si>
  <si>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</si>
  <si>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</si>
  <si>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</si>
  <si>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</si>
  <si>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</si>
  <si>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</si>
  <si>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</si>
  <si>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</si>
  <si>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</si>
  <si>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</si>
  <si>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</si>
  <si>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</si>
  <si>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</si>
  <si>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</si>
  <si>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</si>
  <si>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</si>
  <si>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</si>
  <si>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</si>
  <si>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</si>
  <si>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</si>
  <si>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</si>
  <si>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</si>
  <si>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</si>
  <si>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</si>
  <si>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</si>
  <si>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</si>
  <si>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</si>
  <si>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</si>
  <si>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</si>
  <si>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</si>
  <si>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</si>
  <si>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</si>
  <si>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</si>
  <si>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</si>
  <si>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</si>
  <si>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</si>
  <si>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</si>
  <si>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</si>
  <si>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</si>
  <si>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</si>
  <si>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</si>
  <si>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</si>
  <si>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</si>
  <si>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</si>
  <si>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</si>
  <si>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</si>
  <si>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</si>
  <si>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</si>
  <si>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</si>
  <si>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</si>
  <si>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</si>
  <si>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</si>
  <si>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</si>
  <si>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</si>
  <si>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</si>
  <si>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</si>
  <si>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</si>
  <si>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</si>
  <si>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</si>
  <si>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</si>
  <si>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</si>
  <si>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</si>
  <si>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</si>
  <si>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</si>
  <si>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</si>
  <si>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</si>
  <si>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</si>
  <si>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</si>
  <si>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</si>
  <si>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</si>
  <si>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</si>
  <si>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</si>
  <si>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</si>
  <si>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</si>
  <si>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</si>
  <si>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</si>
  <si>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</si>
  <si>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</si>
  <si>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</si>
  <si>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</si>
  <si>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</si>
  <si>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</si>
  <si>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</si>
  <si>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</si>
  <si>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</si>
  <si>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</si>
  <si>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</si>
  <si>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</si>
  <si>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</si>
  <si>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</si>
  <si>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</si>
  <si>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</si>
  <si>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</si>
  <si>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</si>
  <si>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</si>
  <si>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</si>
  <si>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</si>
  <si>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</si>
  <si>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</si>
  <si>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</si>
  <si>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</si>
  <si>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</si>
  <si>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</si>
  <si>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</si>
  <si>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</si>
  <si>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</si>
  <si>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</si>
  <si>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</si>
  <si>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</si>
  <si>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</si>
  <si>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</si>
  <si>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</si>
  <si>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</si>
  <si>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</si>
  <si>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</si>
  <si>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</si>
  <si>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</si>
  <si>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</si>
  <si>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</si>
  <si>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</si>
  <si>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</si>
  <si>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</si>
  <si>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</si>
  <si>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</si>
  <si>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</si>
  <si>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</si>
  <si>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</si>
  <si>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</si>
  <si>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</si>
  <si>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</si>
  <si>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</si>
  <si>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</si>
  <si>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</si>
  <si>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</si>
  <si>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</si>
  <si>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</si>
  <si>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</si>
  <si>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</si>
  <si>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</si>
  <si>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</si>
  <si>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</si>
  <si>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</si>
  <si>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</si>
  <si>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</si>
  <si>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</si>
  <si>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</si>
  <si>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</si>
  <si>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</si>
  <si>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</si>
  <si>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</si>
  <si>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</si>
  <si>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</si>
  <si>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</si>
  <si>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</si>
  <si>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</si>
  <si>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</si>
  <si>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</si>
  <si>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</si>
  <si>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</si>
  <si>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</si>
  <si>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</si>
  <si>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</si>
  <si>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</si>
  <si>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</si>
  <si>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</si>
  <si>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</si>
  <si>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</si>
  <si>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</si>
  <si>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</si>
  <si>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</si>
  <si>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</si>
  <si>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</si>
  <si>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</si>
  <si>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</si>
  <si>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</si>
  <si>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</si>
  <si>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</si>
  <si>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</si>
  <si>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</si>
  <si>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</si>
  <si>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</si>
  <si>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</si>
  <si>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</si>
  <si>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</si>
  <si>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</si>
  <si>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</si>
  <si>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</si>
  <si>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</si>
  <si>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</si>
  <si>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</si>
  <si>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</si>
  <si>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</si>
  <si>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</si>
  <si>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</si>
  <si>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</si>
  <si>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</si>
  <si>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</si>
  <si>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</si>
  <si>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</si>
  <si>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</si>
  <si>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</si>
  <si>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</si>
  <si>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</si>
  <si>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</si>
  <si>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</si>
  <si>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</si>
  <si>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</si>
  <si>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</si>
  <si>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</si>
  <si>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</si>
  <si>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</si>
  <si>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</si>
  <si>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</si>
  <si>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</si>
  <si>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</si>
  <si>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</si>
  <si>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</si>
  <si>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</si>
  <si>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</si>
  <si>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</si>
  <si>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</si>
  <si>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</si>
  <si>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</si>
  <si>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</si>
  <si>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</si>
  <si>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</si>
  <si>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</si>
  <si>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</si>
  <si>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</si>
  <si>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</si>
  <si>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</si>
  <si>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</si>
  <si>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</si>
  <si>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</si>
  <si>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</si>
  <si>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</si>
  <si>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</si>
  <si>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</si>
  <si>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</si>
  <si>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</si>
  <si>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</si>
  <si>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</si>
  <si>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</si>
  <si>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</si>
  <si>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</si>
  <si>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</si>
  <si>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</si>
  <si>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</si>
  <si>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</si>
  <si>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</si>
  <si>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</si>
  <si>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</si>
  <si>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</si>
  <si>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</si>
  <si>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</si>
  <si>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</si>
  <si>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</si>
  <si>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</si>
  <si>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</si>
  <si>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</si>
  <si>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</si>
  <si>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</si>
  <si>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</si>
  <si>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</si>
  <si>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</si>
  <si>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</si>
  <si>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</si>
  <si>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</si>
  <si>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</si>
  <si>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</si>
  <si>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</si>
  <si>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</si>
  <si>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</si>
  <si>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</si>
  <si>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</si>
  <si>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</si>
  <si>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</si>
  <si>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</si>
  <si>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</si>
  <si>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</si>
  <si>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</si>
  <si>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</si>
  <si>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</si>
  <si>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</si>
  <si>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</si>
  <si>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</si>
  <si>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</si>
  <si>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</si>
  <si>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</si>
  <si>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</si>
  <si>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</si>
  <si>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</si>
  <si>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</si>
  <si>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</si>
  <si>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</si>
  <si>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</si>
  <si>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</si>
  <si>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</si>
  <si>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</si>
  <si>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</si>
  <si>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</si>
  <si>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</si>
  <si>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</si>
  <si>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</si>
  <si>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</si>
  <si>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</si>
  <si>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</si>
  <si>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</si>
  <si>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</si>
  <si>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</si>
  <si>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</si>
  <si>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</si>
  <si>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</si>
  <si>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</si>
  <si>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</si>
  <si>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</si>
  <si>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</si>
  <si>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</si>
  <si>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</si>
  <si>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</si>
  <si>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</si>
  <si>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</si>
  <si>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</si>
  <si>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</si>
  <si>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</si>
  <si>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</si>
  <si>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</si>
  <si>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</si>
  <si>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</si>
  <si>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</si>
  <si>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</si>
  <si>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</si>
  <si>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</si>
  <si>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</si>
  <si>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</si>
  <si>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</si>
  <si>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</si>
  <si>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</si>
  <si>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</si>
  <si>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</si>
  <si>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</si>
  <si>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</si>
  <si>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</si>
  <si>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</si>
  <si>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</si>
  <si>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</si>
  <si>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</si>
  <si>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</si>
  <si>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</si>
  <si>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</si>
  <si>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</si>
  <si>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</si>
  <si>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</si>
  <si>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</si>
  <si>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</si>
  <si>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</si>
  <si>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</si>
  <si>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</si>
  <si>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</si>
  <si>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</si>
  <si>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</si>
  <si>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</si>
  <si>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</si>
  <si>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</si>
  <si>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</si>
  <si>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</si>
  <si>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</si>
  <si>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</si>
  <si>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</si>
  <si>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</si>
  <si>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</si>
  <si>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</si>
  <si>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</si>
  <si>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</si>
  <si>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</si>
  <si>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</si>
  <si>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</si>
  <si>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</si>
  <si>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</si>
  <si>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</si>
  <si>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</si>
  <si>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</si>
  <si>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</si>
  <si>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</si>
  <si>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</si>
  <si>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</si>
  <si>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</si>
  <si>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</si>
  <si>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</si>
  <si>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</si>
  <si>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</si>
  <si>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</si>
  <si>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</si>
  <si>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</si>
  <si>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</si>
  <si>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</si>
  <si>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</si>
  <si>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</si>
  <si>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</si>
  <si>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</si>
  <si>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</si>
  <si>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</si>
  <si>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</si>
  <si>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</si>
  <si>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</si>
  <si>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</si>
  <si>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</si>
  <si>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</si>
  <si>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</si>
  <si>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</si>
  <si>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</si>
  <si>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</si>
  <si>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</si>
  <si>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</si>
  <si>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</si>
  <si>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</si>
  <si>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</si>
  <si>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L'AVEYRON</t>
  </si>
  <si>
    <t xml:space="preserve">L'AVEYRON A LA VALETTE</t>
  </si>
  <si>
    <t xml:space="preserve">05126100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</si>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</sst>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9.95454545454546</v>
      </c>
      <c r="N5" s="324"/>
      <c r="O5" s="325" t="s">
        <v>134</v>
      </c>
      <c r="P5" s="326" t="n">
        <v>10.35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9</v>
      </c>
      <c r="P6" s="338" t="s">
        <v>3393</v>
      </c>
      <c r="Q6" s="339"/>
      <c r="R6" s="281"/>
      <c r="S6" s="281"/>
      <c r="T6" s="281"/>
      <c r="U6" s="281"/>
      <c r="V6" s="281"/>
      <c r="W6" s="295"/>
      <c r="X6" s="0"/>
      <c r="Y6" s="0"/>
      <c r="Z6" s="0"/>
    </row>
    <row r="7" customFormat="false" ht="12.75" hidden="false" customHeight="false" outlineLevel="0" collapsed="false">
      <c r="A7" s="340" t="s">
        <v>3394</v>
      </c>
      <c r="B7" s="341" t="n">
        <v>24</v>
      </c>
      <c r="C7" s="342" t="n">
        <v>76</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10</v>
      </c>
      <c r="P8" s="356" t="n">
        <f aca="false">IF(ISERROR(AVERAGE(K23:K82)),"  ",AVERAGE(K23:K82))</f>
        <v>1.61538461538462</v>
      </c>
      <c r="Q8" s="357"/>
      <c r="R8" s="281"/>
      <c r="S8" s="281"/>
      <c r="T8" s="281"/>
      <c r="U8" s="281"/>
      <c r="V8" s="281"/>
      <c r="W8" s="295"/>
      <c r="X8" s="0"/>
      <c r="Y8" s="0"/>
      <c r="Z8" s="0"/>
    </row>
    <row r="9" customFormat="false" ht="12.75" hidden="false" customHeight="false" outlineLevel="0" collapsed="false">
      <c r="A9" s="314" t="s">
        <v>3400</v>
      </c>
      <c r="B9" s="358" t="n">
        <v>2</v>
      </c>
      <c r="C9" s="359" t="n">
        <v>0.1</v>
      </c>
      <c r="D9" s="360"/>
      <c r="E9" s="360"/>
      <c r="F9" s="361" t="n">
        <f aca="false">($B9*$B$7+$C9*$C$7)/100</f>
        <v>0.556</v>
      </c>
      <c r="G9" s="362"/>
      <c r="H9" s="317"/>
      <c r="I9" s="281"/>
      <c r="J9" s="363"/>
      <c r="K9" s="364"/>
      <c r="L9" s="347"/>
      <c r="M9" s="365"/>
      <c r="N9" s="355" t="s">
        <v>3401</v>
      </c>
      <c r="O9" s="356" t="n">
        <f aca="false">IF(ISERROR(STDEVP(J23:J82))," ",STDEVP(J23:J82))</f>
        <v>3.11324712997663</v>
      </c>
      <c r="P9" s="356" t="n">
        <f aca="false">IF(ISERROR(STDEVP(K23:K82)),"  ",STDEVP(K23:K82))</f>
        <v>0.48650425541052</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6</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6</v>
      </c>
      <c r="M13" s="381"/>
      <c r="N13" s="389" t="s">
        <v>3413</v>
      </c>
      <c r="O13" s="390" t="n">
        <f aca="false">COUNTIF(F23:F82,"&gt;0")</f>
        <v>22</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9</v>
      </c>
      <c r="M15" s="381"/>
      <c r="N15" s="389" t="s">
        <v>3419</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0.590909090909091</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1.8</v>
      </c>
      <c r="C20" s="433" t="n">
        <f aca="false">SUM(C23:C82)</f>
        <v>1</v>
      </c>
      <c r="D20" s="434"/>
      <c r="E20" s="435" t="s">
        <v>3426</v>
      </c>
      <c r="F20" s="436" t="n">
        <f aca="false">($B20*$B$7+$C20*$C$7)/100</f>
        <v>1.192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0.432</v>
      </c>
      <c r="C21" s="444" t="n">
        <f aca="false">C20*C7/100</f>
        <v>0.76</v>
      </c>
      <c r="D21" s="445" t="s">
        <v>3429</v>
      </c>
      <c r="E21" s="446"/>
      <c r="F21" s="447" t="n">
        <f aca="false">B21+C21</f>
        <v>1.192</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1</v>
      </c>
      <c r="C23" s="473" t="n">
        <v>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0.62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0.62</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0.05</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0.012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0.012</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228</v>
      </c>
      <c r="B25" s="490" t="n">
        <v>0.05</v>
      </c>
      <c r="C25" s="491" t="n">
        <v>0.05</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0.05</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300</v>
      </c>
      <c r="B26" s="490" t="n">
        <v>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0.012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0.012</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303</v>
      </c>
      <c r="B27" s="490" t="n">
        <v>0.05</v>
      </c>
      <c r="C27" s="491"/>
      <c r="D27" s="492" t="str">
        <f aca="false">IF(ISERROR(VLOOKUP($A27,'liste reference'!$A$6:$B$1174,2,0)),IF(ISERROR(VLOOKUP($A27,'liste reference'!$B$6:$B$1174,1,0)),"",VLOOKUP($A27,'liste reference'!$B$6:$B$1174,1,0)),VLOOKUP($A27,'liste reference'!$A$6:$B$1174,2,0))</f>
        <v>Oscillatoria sp.</v>
      </c>
      <c r="E27" s="493" t="e">
        <f aca="false">IF(D27="",0,VLOOKUP(D27,D$22:D26,1,0))</f>
        <v>#N/A</v>
      </c>
      <c r="F27" s="494" t="n">
        <f aca="false">IF(AND(OR(A27="",A27="!!!!!!"),B27="",C27=""),"",IF(OR(AND(B27="",C27=""),ISERROR(C27+B27)),"!!!",($B27*$B$7+$C27*$C$7)/100))</f>
        <v>0.012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11</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1108</v>
      </c>
      <c r="R27" s="484" t="n">
        <f aca="false">IF(ISTEXT(H27),"",(B27*$B$7/100)+(C27*$C$7/100))</f>
        <v>0.012</v>
      </c>
      <c r="S27" s="485" t="n">
        <f aca="false">IF(OR(ISTEXT(H27),R27=0),"",IF(R27&lt;0.1,1,IF(R27&lt;1,2,IF(R27&lt;10,3,IF(R27&lt;50,4,IF(R27&gt;=50,5,""))))))</f>
        <v>1</v>
      </c>
      <c r="T27" s="485" t="n">
        <f aca="false">IF(ISERROR(S27*J27),0,S27*J27)</f>
        <v>11</v>
      </c>
      <c r="U27" s="485" t="n">
        <f aca="false">IF(ISERROR(S27*J27*K27),0,S27*J27*K27)</f>
        <v>11</v>
      </c>
      <c r="V27" s="501" t="n">
        <f aca="false">IF(ISERROR(S27*K27),0,S27*K27)</f>
        <v>1</v>
      </c>
      <c r="W27" s="502"/>
      <c r="X27" s="503"/>
      <c r="Y27" s="488" t="str">
        <f aca="false">IF(AND(ISNUMBER(F27),OR(A27="",A27="!!!!!!")),"!!!!!!",IF(A27="new.cod","NEWCOD",IF(AND((Z27=""),ISTEXT(A27),A27&lt;&gt;"!!!!!!"),A27,IF(Z27="","",INDEX('liste reference'!$A$6:$A$1174,Z27)))))</f>
        <v>OSCSPX</v>
      </c>
      <c r="Z27" s="470" t="n">
        <f aca="false">IF(ISERROR(MATCH(A27,'liste reference'!$A$6:$A$1174,0)),IF(ISERROR(MATCH(A27,'liste reference'!$B$6:$B$1174,0)),"",(MATCH(A27,'liste reference'!$B$6:$B$1174,0))),(MATCH(A27,'liste reference'!$A$6:$A$1174,0)))</f>
        <v>86</v>
      </c>
    </row>
    <row r="28" customFormat="false" ht="12.75" hidden="false" customHeight="false" outlineLevel="0" collapsed="false">
      <c r="A28" s="489" t="s">
        <v>306</v>
      </c>
      <c r="B28" s="490" t="n">
        <v>0.05</v>
      </c>
      <c r="C28" s="491"/>
      <c r="D28" s="492" t="str">
        <f aca="false">IF(ISERROR(VLOOKUP($A28,'liste reference'!$A$6:$B$1174,2,0)),IF(ISERROR(VLOOKUP($A28,'liste reference'!$B$6:$B$1174,1,0)),"",VLOOKUP($A28,'liste reference'!$B$6:$B$1174,1,0)),VLOOKUP($A28,'liste reference'!$A$6:$B$1174,2,0))</f>
        <v>Paralemanea sp.</v>
      </c>
      <c r="E28" s="493" t="e">
        <f aca="false">IF(D28="",0,VLOOKUP(D28,D$22:D27,1,0))</f>
        <v>#N/A</v>
      </c>
      <c r="F28" s="494" t="n">
        <f aca="false">IF(AND(OR(A28="",A28="!!!!!!"),B28="",C28=""),"",IF(OR(AND(B28="",C28=""),ISERROR(C28+B28)),"!!!",($B28*$B$7+$C28*$C$7)/100))</f>
        <v>0.012</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Paralemanea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31566</v>
      </c>
      <c r="R28" s="484" t="n">
        <f aca="false">IF(ISTEXT(H28),"",(B28*$B$7/100)+(C28*$C$7/100))</f>
        <v>0.012</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PAASPX</v>
      </c>
      <c r="Z28" s="470" t="n">
        <f aca="false">IF(ISERROR(MATCH(A28,'liste reference'!$A$6:$A$1174,0)),IF(ISERROR(MATCH(A28,'liste reference'!$B$6:$B$1174,0)),"",(MATCH(A28,'liste reference'!$B$6:$B$1174,0))),(MATCH(A28,'liste reference'!$A$6:$A$1174,0)))</f>
        <v>87</v>
      </c>
    </row>
    <row r="29" customFormat="false" ht="12.75" hidden="false" customHeight="false" outlineLevel="0" collapsed="false">
      <c r="A29" s="489" t="s">
        <v>712</v>
      </c>
      <c r="B29" s="490" t="n">
        <v>0.05</v>
      </c>
      <c r="C29" s="491" t="n">
        <v>0.05</v>
      </c>
      <c r="D29" s="492" t="str">
        <f aca="false">IF(ISERROR(VLOOKUP($A29,'liste reference'!$A$6:$B$1174,2,0)),IF(ISERROR(VLOOKUP($A29,'liste reference'!$B$6:$B$1174,1,0)),"",VLOOKUP($A29,'liste reference'!$B$6:$B$1174,1,0)),VLOOKUP($A29,'liste reference'!$A$6:$B$1174,2,0))</f>
        <v>Cinclidotus riparius</v>
      </c>
      <c r="E29" s="493" t="e">
        <f aca="false">IF(D29="",0,VLOOKUP(D29,D$22:D28,1,0))</f>
        <v>#N/A</v>
      </c>
      <c r="F29" s="494" t="n">
        <f aca="false">IF(AND(OR(A29="",A29="!!!!!!"),B29="",C29=""),"",IF(OR(AND(B29="",C29=""),ISERROR(C29+B29)),"!!!",($B29*$B$7+$C29*$C$7)/100))</f>
        <v>0.05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riparius</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1321</v>
      </c>
      <c r="R29" s="484" t="n">
        <f aca="false">IF(ISTEXT(H29),"",(B29*$B$7/100)+(C29*$C$7/100))</f>
        <v>0.05</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CINRIP</v>
      </c>
      <c r="Z29" s="470" t="n">
        <f aca="false">IF(ISERROR(MATCH(A29,'liste reference'!$A$6:$A$1174,0)),IF(ISERROR(MATCH(A29,'liste reference'!$B$6:$B$1174,0)),"",(MATCH(A29,'liste reference'!$B$6:$B$1174,0))),(MATCH(A29,'liste reference'!$A$6:$A$1174,0)))</f>
        <v>224</v>
      </c>
    </row>
    <row r="30" customFormat="false" ht="12.75" hidden="false" customHeight="false" outlineLevel="0" collapsed="false">
      <c r="A30" s="489" t="s">
        <v>830</v>
      </c>
      <c r="B30" s="490"/>
      <c r="C30" s="491" t="n">
        <v>0.05</v>
      </c>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0.038</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0.038</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965</v>
      </c>
      <c r="B31" s="490"/>
      <c r="C31" s="491" t="n">
        <v>0.05</v>
      </c>
      <c r="D31" s="492" t="str">
        <f aca="false">IF(ISERROR(VLOOKUP($A31,'liste reference'!$A$6:$B$1174,2,0)),IF(ISERROR(VLOOKUP($A31,'liste reference'!$B$6:$B$1174,1,0)),"",VLOOKUP($A31,'liste reference'!$B$6:$B$1174,1,0)),VLOOKUP($A31,'liste reference'!$A$6:$B$1174,2,0))</f>
        <v>Kindbergia praelonga</v>
      </c>
      <c r="E31" s="493" t="e">
        <f aca="false">IF(D31="",0,VLOOKUP(D31,D$22:D30,1,0))</f>
        <v>#N/A</v>
      </c>
      <c r="F31" s="494" t="n">
        <f aca="false">IF(AND(OR(A31="",A31="!!!!!!"),B31="",C31=""),"",IF(OR(AND(B31="",C31=""),ISERROR(C31+B31)),"!!!",($B31*$B$7+$C31*$C$7)/100))</f>
        <v>0.038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Kindbergia praelonga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30014</v>
      </c>
      <c r="R31" s="484" t="n">
        <f aca="false">IF(ISTEXT(H31),"",(B31*$B$7/100)+(C31*$C$7/100))</f>
        <v>0.038</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KINPRA</v>
      </c>
      <c r="Z31" s="470" t="n">
        <f aca="false">IF(ISERROR(MATCH(A31,'liste reference'!$A$6:$A$1174,0)),IF(ISERROR(MATCH(A31,'liste reference'!$B$6:$B$1174,0)),"",(MATCH(A31,'liste reference'!$B$6:$B$1174,0))),(MATCH(A31,'liste reference'!$A$6:$A$1174,0)))</f>
        <v>297</v>
      </c>
    </row>
    <row r="32" customFormat="false" ht="12.75" hidden="false" customHeight="false" outlineLevel="0" collapsed="false">
      <c r="A32" s="489" t="s">
        <v>974</v>
      </c>
      <c r="B32" s="490" t="n">
        <v>0.05</v>
      </c>
      <c r="C32" s="491"/>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0.012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0.012</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1004</v>
      </c>
      <c r="B33" s="490"/>
      <c r="C33" s="491" t="n">
        <v>0.05</v>
      </c>
      <c r="D33" s="492" t="str">
        <f aca="false">IF(ISERROR(VLOOKUP($A33,'liste reference'!$A$6:$B$1174,2,0)),IF(ISERROR(VLOOKUP($A33,'liste reference'!$B$6:$B$1174,1,0)),"",VLOOKUP($A33,'liste reference'!$B$6:$B$1174,1,0)),VLOOKUP($A33,'liste reference'!$A$6:$B$1174,2,0))</f>
        <v>Oxyrrhynchium speciosum </v>
      </c>
      <c r="E33" s="493" t="e">
        <f aca="false">IF(D33="",0,VLOOKUP(D33,D$22:D32,1,0))</f>
        <v>#N/A</v>
      </c>
      <c r="F33" s="494" t="n">
        <f aca="false">IF(AND(OR(A33="",A33="!!!!!!"),B33="",C33=""),"",IF(OR(AND(B33="",C33=""),ISERROR(C33+B33)),"!!!",($B33*$B$7+$C33*$C$7)/100))</f>
        <v>0.038</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Oxyrrhynchium speciosum </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30099</v>
      </c>
      <c r="R33" s="484" t="n">
        <f aca="false">IF(ISTEXT(H33),"",(B33*$B$7/100)+(C33*$C$7/100))</f>
        <v>0.038</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OXYSPE</v>
      </c>
      <c r="Z33" s="470" t="n">
        <f aca="false">IF(ISERROR(MATCH(A33,'liste reference'!$A$6:$A$1174,0)),IF(ISERROR(MATCH(A33,'liste reference'!$B$6:$B$1174,0)),"",(MATCH(A33,'liste reference'!$B$6:$B$1174,0))),(MATCH(A33,'liste reference'!$A$6:$A$1174,0)))</f>
        <v>308</v>
      </c>
    </row>
    <row r="34" customFormat="false" ht="12.75" hidden="false" customHeight="false" outlineLevel="0" collapsed="false">
      <c r="A34" s="489" t="s">
        <v>1201</v>
      </c>
      <c r="B34" s="490"/>
      <c r="C34" s="491" t="n">
        <v>0.05</v>
      </c>
      <c r="D34" s="492" t="str">
        <f aca="false">IF(ISERROR(VLOOKUP($A34,'liste reference'!$A$6:$B$1174,2,0)),IF(ISERROR(VLOOKUP($A34,'liste reference'!$B$6:$B$1174,1,0)),"",VLOOKUP($A34,'liste reference'!$B$6:$B$1174,1,0)),VLOOKUP($A34,'liste reference'!$A$6:$B$1174,2,0))</f>
        <v>Thamnobryum alopecurum</v>
      </c>
      <c r="E34" s="493" t="e">
        <f aca="false">IF(D34="",0,VLOOKUP(D34,D$22:D33,1,0))</f>
        <v>#N/A</v>
      </c>
      <c r="F34" s="494" t="n">
        <f aca="false">IF(AND(OR(A34="",A34="!!!!!!"),B34="",C34=""),"",IF(OR(AND(B34="",C34=""),ISERROR(C34+B34)),"!!!",($B34*$B$7+$C34*$C$7)/100))</f>
        <v>0.038</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Thamnobryum alopecurum</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1344</v>
      </c>
      <c r="R34" s="484" t="n">
        <f aca="false">IF(ISTEXT(H34),"",(B34*$B$7/100)+(C34*$C$7/100))</f>
        <v>0.038</v>
      </c>
      <c r="S34" s="485" t="n">
        <f aca="false">IF(OR(ISTEXT(H34),R34=0),"",IF(R34&lt;0.1,1,IF(R34&lt;1,2,IF(R34&lt;10,3,IF(R34&lt;50,4,IF(R34&gt;=50,5,""))))))</f>
        <v>1</v>
      </c>
      <c r="T34" s="485" t="n">
        <f aca="false">IF(ISERROR(S34*J34),0,S34*J34)</f>
        <v>15</v>
      </c>
      <c r="U34" s="485" t="n">
        <f aca="false">IF(ISERROR(S34*J34*K34),0,S34*J34*K34)</f>
        <v>30</v>
      </c>
      <c r="V34" s="501" t="n">
        <f aca="false">IF(ISERROR(S34*K34),0,S34*K34)</f>
        <v>2</v>
      </c>
      <c r="W34" s="502"/>
      <c r="X34" s="503"/>
      <c r="Y34" s="488" t="str">
        <f aca="false">IF(AND(ISNUMBER(F34),OR(A34="",A34="!!!!!!")),"!!!!!!",IF(A34="new.cod","NEWCOD",IF(AND((Z34=""),ISTEXT(A34),A34&lt;&gt;"!!!!!!"),A34,IF(Z34="","",INDEX('liste reference'!$A$6:$A$1174,Z34)))))</f>
        <v>THAALO</v>
      </c>
      <c r="Z34" s="470" t="n">
        <f aca="false">IF(ISERROR(MATCH(A34,'liste reference'!$A$6:$A$1174,0)),IF(ISERROR(MATCH(A34,'liste reference'!$B$6:$B$1174,0)),"",(MATCH(A34,'liste reference'!$B$6:$B$1174,0))),(MATCH(A34,'liste reference'!$A$6:$A$1174,0)))</f>
        <v>368</v>
      </c>
    </row>
    <row r="35" customFormat="false" ht="12.75" hidden="false" customHeight="false" outlineLevel="0" collapsed="false">
      <c r="A35" s="489" t="s">
        <v>1255</v>
      </c>
      <c r="B35" s="490" t="n">
        <v>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0.012</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0.012</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1557</v>
      </c>
      <c r="B36" s="490" t="n">
        <v>0.05</v>
      </c>
      <c r="C36" s="491" t="n">
        <v>0.05</v>
      </c>
      <c r="D36" s="492" t="str">
        <f aca="false">IF(ISERROR(VLOOKUP($A36,'liste reference'!$A$6:$B$1174,2,0)),IF(ISERROR(VLOOKUP($A36,'liste reference'!$B$6:$B$1174,1,0)),"",VLOOKUP($A36,'liste reference'!$B$6:$B$1174,1,0)),VLOOKUP($A36,'liste reference'!$A$6:$B$1174,2,0))</f>
        <v>Myriophyllum spicatum</v>
      </c>
      <c r="E36" s="493" t="e">
        <f aca="false">IF(D36="",0,VLOOKUP(D36,D$22:D35,1,0))</f>
        <v>#N/A</v>
      </c>
      <c r="F36" s="494" t="n">
        <f aca="false">IF(AND(OR(A36="",A36="!!!!!!"),B36="",C36=""),"",IF(OR(AND(B36="",C36=""),ISERROR(C36+B36)),"!!!",($B36*$B$7+$C36*$C$7)/100))</f>
        <v>0.05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Myriophyllum spicatum</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1778</v>
      </c>
      <c r="R36" s="484" t="n">
        <f aca="false">IF(ISTEXT(H36),"",(B36*$B$7/100)+(C36*$C$7/100))</f>
        <v>0.05</v>
      </c>
      <c r="S36" s="485" t="n">
        <f aca="false">IF(OR(ISTEXT(H36),R36=0),"",IF(R36&lt;0.1,1,IF(R36&lt;1,2,IF(R36&lt;10,3,IF(R36&lt;50,4,IF(R36&gt;=50,5,""))))))</f>
        <v>1</v>
      </c>
      <c r="T36" s="485" t="n">
        <f aca="false">IF(ISERROR(S36*J36),0,S36*J36)</f>
        <v>8</v>
      </c>
      <c r="U36" s="485" t="n">
        <f aca="false">IF(ISERROR(S36*J36*K36),0,S36*J36*K36)</f>
        <v>16</v>
      </c>
      <c r="V36" s="501" t="n">
        <f aca="false">IF(ISERROR(S36*K36),0,S36*K36)</f>
        <v>2</v>
      </c>
      <c r="W36" s="502"/>
      <c r="X36" s="503"/>
      <c r="Y36" s="488" t="str">
        <f aca="false">IF(AND(ISNUMBER(F36),OR(A36="",A36="!!!!!!")),"!!!!!!",IF(A36="new.cod","NEWCOD",IF(AND((Z36=""),ISTEXT(A36),A36&lt;&gt;"!!!!!!"),A36,IF(Z36="","",INDEX('liste reference'!$A$6:$A$1174,Z36)))))</f>
        <v>MYRSPI</v>
      </c>
      <c r="Z36" s="470" t="n">
        <f aca="false">IF(ISERROR(MATCH(A36,'liste reference'!$A$6:$A$1174,0)),IF(ISERROR(MATCH(A36,'liste reference'!$B$6:$B$1174,0)),"",(MATCH(A36,'liste reference'!$B$6:$B$1174,0))),(MATCH(A36,'liste reference'!$A$6:$A$1174,0)))</f>
        <v>486</v>
      </c>
    </row>
    <row r="37" customFormat="false" ht="12.75" hidden="false" customHeight="false" outlineLevel="0" collapsed="false">
      <c r="A37" s="489" t="s">
        <v>1631</v>
      </c>
      <c r="B37" s="490" t="n">
        <v>0.05</v>
      </c>
      <c r="C37" s="491"/>
      <c r="D37" s="492" t="str">
        <f aca="false">IF(ISERROR(VLOOKUP($A37,'liste reference'!$A$6:$B$1174,2,0)),IF(ISERROR(VLOOKUP($A37,'liste reference'!$B$6:$B$1174,1,0)),"",VLOOKUP($A37,'liste reference'!$B$6:$B$1174,1,0)),VLOOKUP($A37,'liste reference'!$A$6:$B$1174,2,0))</f>
        <v>Persicaria amphibia</v>
      </c>
      <c r="E37" s="493" t="e">
        <f aca="false">IF(D37="",0,VLOOKUP(D37,D$22:D36,1,0))</f>
        <v>#N/A</v>
      </c>
      <c r="F37" s="494" t="n">
        <f aca="false">IF(AND(OR(A37="",A37="!!!!!!"),B37="",C37=""),"",IF(OR(AND(B37="",C37=""),ISERROR(C37+B37)),"!!!",($B37*$B$7+$C37*$C$7)/100))</f>
        <v>0.012</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Persicaria amphibia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31020</v>
      </c>
      <c r="R37" s="484" t="n">
        <f aca="false">IF(ISTEXT(H37),"",(B37*$B$7/100)+(C37*$C$7/100))</f>
        <v>0.012</v>
      </c>
      <c r="S37" s="485" t="n">
        <f aca="false">IF(OR(ISTEXT(H37),R37=0),"",IF(R37&lt;0.1,1,IF(R37&lt;1,2,IF(R37&lt;10,3,IF(R37&lt;50,4,IF(R37&gt;=50,5,""))))))</f>
        <v>1</v>
      </c>
      <c r="T37" s="485" t="n">
        <f aca="false">IF(ISERROR(S37*J37),0,S37*J37)</f>
        <v>9</v>
      </c>
      <c r="U37" s="485" t="n">
        <f aca="false">IF(ISERROR(S37*J37*K37),0,S37*J37*K37)</f>
        <v>18</v>
      </c>
      <c r="V37" s="501" t="n">
        <f aca="false">IF(ISERROR(S37*K37),0,S37*K37)</f>
        <v>2</v>
      </c>
      <c r="W37" s="502"/>
      <c r="X37" s="503"/>
      <c r="Y37" s="488" t="str">
        <f aca="false">IF(AND(ISNUMBER(F37),OR(A37="",A37="!!!!!!")),"!!!!!!",IF(A37="new.cod","NEWCOD",IF(AND((Z37=""),ISTEXT(A37),A37&lt;&gt;"!!!!!!"),A37,IF(Z37="","",INDEX('liste reference'!$A$6:$A$1174,Z37)))))</f>
        <v>PERAMP</v>
      </c>
      <c r="Z37" s="470" t="n">
        <f aca="false">IF(ISERROR(MATCH(A37,'liste reference'!$A$6:$A$1174,0)),IF(ISERROR(MATCH(A37,'liste reference'!$B$6:$B$1174,0)),"",(MATCH(A37,'liste reference'!$B$6:$B$1174,0))),(MATCH(A37,'liste reference'!$A$6:$A$1174,0)))</f>
        <v>513</v>
      </c>
    </row>
    <row r="38" customFormat="false" ht="12.75" hidden="false" customHeight="false" outlineLevel="0" collapsed="false">
      <c r="A38" s="489" t="s">
        <v>1932</v>
      </c>
      <c r="B38" s="490" t="n">
        <v>0.05</v>
      </c>
      <c r="C38" s="491"/>
      <c r="D38" s="492" t="str">
        <f aca="false">IF(ISERROR(VLOOKUP($A38,'liste reference'!$A$6:$B$1174,2,0)),IF(ISERROR(VLOOKUP($A38,'liste reference'!$B$6:$B$1174,1,0)),"",VLOOKUP($A38,'liste reference'!$B$6:$B$1174,1,0)),VLOOKUP($A38,'liste reference'!$A$6:$B$1174,2,0))</f>
        <v>Agrostis stolonifera</v>
      </c>
      <c r="E38" s="493" t="e">
        <f aca="false">IF(D38="",0,VLOOKUP(D38,D$22:D37,1,0))</f>
        <v>#N/A</v>
      </c>
      <c r="F38" s="494" t="n">
        <f aca="false">IF(AND(OR(A38="",A38="!!!!!!"),B38="",C38=""),"",IF(OR(AND(B38="",C38=""),ISERROR(C38+B38)),"!!!",($B38*$B$7+$C38*$C$7)/100))</f>
        <v>0.012</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1543</v>
      </c>
      <c r="R38" s="484" t="n">
        <f aca="false">IF(ISTEXT(H38),"",(B38*$B$7/100)+(C38*$C$7/100))</f>
        <v>0.012</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AGRSTO</v>
      </c>
      <c r="Z38" s="470" t="n">
        <f aca="false">IF(ISERROR(MATCH(A38,'liste reference'!$A$6:$A$1174,0)),IF(ISERROR(MATCH(A38,'liste reference'!$B$6:$B$1174,0)),"",(MATCH(A38,'liste reference'!$B$6:$B$1174,0))),(MATCH(A38,'liste reference'!$A$6:$A$1174,0)))</f>
        <v>623</v>
      </c>
    </row>
    <row r="39" customFormat="false" ht="12.75" hidden="false" customHeight="false" outlineLevel="0" collapsed="false">
      <c r="A39" s="489" t="s">
        <v>2170</v>
      </c>
      <c r="B39" s="490" t="n">
        <v>0.05</v>
      </c>
      <c r="C39" s="491" t="n">
        <v>0.05</v>
      </c>
      <c r="D39" s="492" t="str">
        <f aca="false">IF(ISERROR(VLOOKUP($A39,'liste reference'!$A$6:$B$1174,2,0)),IF(ISERROR(VLOOKUP($A39,'liste reference'!$B$6:$B$1174,1,0)),"",VLOOKUP($A39,'liste reference'!$B$6:$B$1174,1,0)),VLOOKUP($A39,'liste reference'!$A$6:$B$1174,2,0))</f>
        <v>Phalaris arundinacea</v>
      </c>
      <c r="E39" s="493" t="e">
        <f aca="false">IF(D39="",0,VLOOKUP(D39,D$22:D38,1,0))</f>
        <v>#N/A</v>
      </c>
      <c r="F39" s="494" t="n">
        <f aca="false">IF(AND(OR(A39="",A39="!!!!!!"),B39="",C39=""),"",IF(OR(AND(B39="",C39=""),ISERROR(C39+B39)),"!!!",($B39*$B$7+$C39*$C$7)/100))</f>
        <v>0.05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Phalaris arundinacea</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1577</v>
      </c>
      <c r="R39" s="484" t="n">
        <f aca="false">IF(ISTEXT(H39),"",(B39*$B$7/100)+(C39*$C$7/100))</f>
        <v>0.05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PHAARU</v>
      </c>
      <c r="Z39" s="470" t="n">
        <f aca="false">IF(ISERROR(MATCH(A39,'liste reference'!$A$6:$A$1174,0)),IF(ISERROR(MATCH(A39,'liste reference'!$B$6:$B$1174,0)),"",(MATCH(A39,'liste reference'!$B$6:$B$1174,0))),(MATCH(A39,'liste reference'!$A$6:$A$1174,0)))</f>
        <v>707</v>
      </c>
    </row>
    <row r="40" customFormat="false" ht="12.75" hidden="false" customHeight="false" outlineLevel="0" collapsed="false">
      <c r="A40" s="489" t="s">
        <v>2645</v>
      </c>
      <c r="B40" s="490" t="n">
        <v>0.05</v>
      </c>
      <c r="C40" s="491"/>
      <c r="D40" s="492" t="str">
        <f aca="false">IF(ISERROR(VLOOKUP($A40,'liste reference'!$A$6:$B$1174,2,0)),IF(ISERROR(VLOOKUP($A40,'liste reference'!$B$6:$B$1174,1,0)),"",VLOOKUP($A40,'liste reference'!$B$6:$B$1174,1,0)),VLOOKUP($A40,'liste reference'!$A$6:$B$1174,2,0))</f>
        <v>Leersia oryzoides</v>
      </c>
      <c r="E40" s="493" t="e">
        <f aca="false">IF(D40="",0,VLOOKUP(D40,D$22:D39,1,0))</f>
        <v>#N/A</v>
      </c>
      <c r="F40" s="494" t="n">
        <f aca="false">IF(AND(OR(A40="",A40="!!!!!!"),B40="",C40=""),"",IF(OR(AND(B40="",C40=""),ISERROR(C40+B40)),"!!!",($B40*$B$7+$C40*$C$7)/100))</f>
        <v>0.012</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Leersia oryzoides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1569</v>
      </c>
      <c r="R40" s="484" t="n">
        <f aca="false">IF(ISTEXT(H40),"",(B40*$B$7/100)+(C40*$C$7/100))</f>
        <v>0.012</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LEEORY</v>
      </c>
      <c r="Z40" s="470" t="n">
        <f aca="false">IF(ISERROR(MATCH(A40,'liste reference'!$A$6:$A$1174,0)),IF(ISERROR(MATCH(A40,'liste reference'!$B$6:$B$1174,0)),"",(MATCH(A40,'liste reference'!$B$6:$B$1174,0))),(MATCH(A40,'liste reference'!$A$6:$A$1174,0)))</f>
        <v>885</v>
      </c>
    </row>
    <row r="41" customFormat="false" ht="12.75" hidden="false" customHeight="false" outlineLevel="0" collapsed="false">
      <c r="A41" s="489" t="s">
        <v>2688</v>
      </c>
      <c r="B41" s="490" t="n">
        <v>0.05</v>
      </c>
      <c r="C41" s="491"/>
      <c r="D41" s="492" t="str">
        <f aca="false">IF(ISERROR(VLOOKUP($A41,'liste reference'!$A$6:$B$1174,2,0)),IF(ISERROR(VLOOKUP($A41,'liste reference'!$B$6:$B$1174,1,0)),"",VLOOKUP($A41,'liste reference'!$B$6:$B$1174,1,0)),VLOOKUP($A41,'liste reference'!$A$6:$B$1174,2,0))</f>
        <v>Lysimachia vulgaris</v>
      </c>
      <c r="E41" s="493" t="e">
        <f aca="false">IF(D41="",0,VLOOKUP(D41,D$22:D40,1,0))</f>
        <v>#N/A</v>
      </c>
      <c r="F41" s="494" t="n">
        <f aca="false">IF(AND(OR(A41="",A41="!!!!!!"),B41="",C41=""),"",IF(OR(AND(B41="",C41=""),ISERROR(C41+B41)),"!!!",($B41*$B$7+$C41*$C$7)/100))</f>
        <v>0.012</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1887</v>
      </c>
      <c r="R41" s="484" t="n">
        <f aca="false">IF(ISTEXT(H41),"",(B41*$B$7/100)+(C41*$C$7/100))</f>
        <v>0.012</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LYSVUL</v>
      </c>
      <c r="Z41" s="470" t="n">
        <f aca="false">IF(ISERROR(MATCH(A41,'liste reference'!$A$6:$A$1174,0)),IF(ISERROR(MATCH(A41,'liste reference'!$B$6:$B$1174,0)),"",(MATCH(A41,'liste reference'!$B$6:$B$1174,0))),(MATCH(A41,'liste reference'!$A$6:$A$1174,0)))</f>
        <v>899</v>
      </c>
    </row>
    <row r="42" customFormat="false" ht="12.75" hidden="false" customHeight="false" outlineLevel="0" collapsed="false">
      <c r="A42" s="489" t="s">
        <v>2699</v>
      </c>
      <c r="B42" s="490"/>
      <c r="C42" s="491" t="n">
        <v>0.05</v>
      </c>
      <c r="D42" s="492" t="str">
        <f aca="false">IF(ISERROR(VLOOKUP($A42,'liste reference'!$A$6:$B$1174,2,0)),IF(ISERROR(VLOOKUP($A42,'liste reference'!$B$6:$B$1174,1,0)),"",VLOOKUP($A42,'liste reference'!$B$6:$B$1174,1,0)),VLOOKUP($A42,'liste reference'!$A$6:$B$1174,2,0))</f>
        <v>Lythrum salicaria</v>
      </c>
      <c r="E42" s="493" t="e">
        <f aca="false">IF(D42="",0,VLOOKUP(D42,D$22:D41,1,0))</f>
        <v>#N/A</v>
      </c>
      <c r="F42" s="494" t="n">
        <f aca="false">IF(AND(OR(A42="",A42="!!!!!!"),B42="",C42=""),"",IF(OR(AND(B42="",C42=""),ISERROR(C42+B42)),"!!!",($B42*$B$7+$C42*$C$7)/100))</f>
        <v>0.038</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Lythrum salicaria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1823</v>
      </c>
      <c r="R42" s="484" t="n">
        <f aca="false">IF(ISTEXT(H42),"",(B42*$B$7/100)+(C42*$C$7/100))</f>
        <v>0.038</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LYTSAL</v>
      </c>
      <c r="Z42" s="470" t="n">
        <f aca="false">IF(ISERROR(MATCH(A42,'liste reference'!$A$6:$A$1174,0)),IF(ISERROR(MATCH(A42,'liste reference'!$B$6:$B$1174,0)),"",(MATCH(A42,'liste reference'!$B$6:$B$1174,0))),(MATCH(A42,'liste reference'!$A$6:$A$1174,0)))</f>
        <v>902</v>
      </c>
    </row>
    <row r="43" customFormat="false" ht="12.75" hidden="false" customHeight="false" outlineLevel="0" collapsed="false">
      <c r="A43" s="489" t="s">
        <v>3186</v>
      </c>
      <c r="B43" s="490" t="n">
        <v>0.05</v>
      </c>
      <c r="C43" s="491"/>
      <c r="D43" s="492" t="str">
        <f aca="false">IF(ISERROR(VLOOKUP($A43,'liste reference'!$A$6:$B$1174,2,0)),IF(ISERROR(VLOOKUP($A43,'liste reference'!$B$6:$B$1174,1,0)),"",VLOOKUP($A43,'liste reference'!$B$6:$B$1174,1,0)),VLOOKUP($A43,'liste reference'!$A$6:$B$1174,2,0))</f>
        <v>Mentha sp.</v>
      </c>
      <c r="E43" s="493" t="e">
        <f aca="false">IF(D43="",0,VLOOKUP(D43,D$22:D42,1,0))</f>
        <v>#N/A</v>
      </c>
      <c r="F43" s="494" t="n">
        <f aca="false">IF(AND(OR(A43="",A43="!!!!!!"),B43="",C43=""),"",IF(OR(AND(B43="",C43=""),ISERROR(C43+B43)),"!!!",($B43*$B$7+$C43*$C$7)/100))</f>
        <v>0.012</v>
      </c>
      <c r="G43" s="495" t="str">
        <f aca="false">IF(A43="","",IF(ISERROR(VLOOKUP($A43,'liste reference'!$A$6:$Q$1174,9,0)),IF(ISERROR(VLOOKUP($A43,'liste reference'!$B$6:$Q$1174,8,0)),"    -",VLOOKUP($A43,'liste reference'!$B$6:$Q$1174,8,0)),VLOOKUP($A43,'liste reference'!$A$6:$Q$1174,9,0)))</f>
        <v>PHx</v>
      </c>
      <c r="H43" s="496" t="n">
        <f aca="false">IF(A43="","x",IF(ISERROR(VLOOKUP($A43,'liste reference'!$A$6:$Q$1174,10,0)),IF(ISERROR(VLOOKUP($A43,'liste reference'!$B$6:$Q$1174,9,0)),"x",VLOOKUP($A43,'liste reference'!$B$6:$Q$1174,9,0)),VLOOKUP($A43,'liste reference'!$A$6:$Q$1174,10,0)))</f>
        <v>10</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Mentha sp.</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1790</v>
      </c>
      <c r="R43" s="484" t="n">
        <f aca="false">IF(ISTEXT(H43),"",(B43*$B$7/100)+(C43*$C$7/100))</f>
        <v>0.012</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MENSPX</v>
      </c>
      <c r="Z43" s="470" t="n">
        <f aca="false">IF(ISERROR(MATCH(A43,'liste reference'!$A$6:$A$1174,0)),IF(ISERROR(MATCH(A43,'liste reference'!$B$6:$B$1174,0)),"",(MATCH(A43,'liste reference'!$B$6:$B$1174,0))),(MATCH(A43,'liste reference'!$A$6:$A$1174,0)))</f>
        <v>1098</v>
      </c>
    </row>
    <row r="44" customFormat="false" ht="12.75" hidden="false" customHeight="false" outlineLevel="0" collapsed="false">
      <c r="A44" s="489" t="s">
        <v>3252</v>
      </c>
      <c r="B44" s="490" t="n">
        <v>0.05</v>
      </c>
      <c r="C44" s="491" t="n">
        <v>0.05</v>
      </c>
      <c r="D44" s="492" t="str">
        <f aca="false">IF(ISERROR(VLOOKUP($A44,'liste reference'!$A$6:$B$1174,2,0)),IF(ISERROR(VLOOKUP($A44,'liste reference'!$B$6:$B$1174,1,0)),"",VLOOKUP($A44,'liste reference'!$B$6:$B$1174,1,0)),VLOOKUP($A44,'liste reference'!$A$6:$B$1174,2,0))</f>
        <v>Ranunculus repens</v>
      </c>
      <c r="E44" s="493" t="e">
        <f aca="false">IF(D44="",0,VLOOKUP(D44,D$22:D43,1,0))</f>
        <v>#N/A</v>
      </c>
      <c r="F44" s="494" t="n">
        <f aca="false">IF(AND(OR(A44="",A44="!!!!!!"),B44="",C44=""),"",IF(OR(AND(B44="",C44=""),ISERROR(C44+B44)),"!!!",($B44*$B$7+$C44*$C$7)/100))</f>
        <v>0.05</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Ranunculus repens</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1910</v>
      </c>
      <c r="R44" s="484" t="n">
        <f aca="false">IF(ISTEXT(H44),"",(B44*$B$7/100)+(C44*$C$7/100))</f>
        <v>0.05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RANREP</v>
      </c>
      <c r="Z44" s="470" t="n">
        <f aca="false">IF(ISERROR(MATCH(A44,'liste reference'!$A$6:$A$1174,0)),IF(ISERROR(MATCH(A44,'liste reference'!$B$6:$B$1174,0)),"",(MATCH(A44,'liste reference'!$B$6:$B$1174,0))),(MATCH(A44,'liste reference'!$A$6:$A$1174,0)))</f>
        <v>1128</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1.192</v>
      </c>
      <c r="G83" s="424"/>
      <c r="H83" s="424"/>
      <c r="I83" s="424"/>
      <c r="J83" s="424"/>
      <c r="K83" s="424"/>
      <c r="L83" s="424"/>
      <c r="M83" s="485"/>
      <c r="N83" s="485"/>
      <c r="O83" s="485"/>
      <c r="P83" s="485"/>
      <c r="Q83" s="485"/>
      <c r="R83" s="485"/>
      <c r="S83" s="485"/>
      <c r="T83" s="485"/>
      <c r="U83" s="485"/>
      <c r="V83" s="485" t="n">
        <f aca="false">SUM(V23:V82)</f>
        <v>22</v>
      </c>
      <c r="W83" s="485"/>
      <c r="X83" s="523"/>
      <c r="Y83" s="523"/>
      <c r="Z83" s="524"/>
    </row>
    <row r="84" customFormat="false" ht="12.75" hidden="true" customHeight="false" outlineLevel="0" collapsed="false">
      <c r="A84" s="518" t="str">
        <f aca="false">A3</f>
        <v>L'AVEYRON</v>
      </c>
      <c r="B84" s="453" t="str">
        <f aca="false">C3</f>
        <v>L'AVEYRON A LA VALETTE</v>
      </c>
      <c r="C84" s="525" t="str">
        <f aca="false">A4</f>
        <v>(Date)</v>
      </c>
      <c r="D84" s="526" t="n">
        <f aca="false">IF(OR(ISERROR(SUM($U$23:$U$82)/SUM($V$23:$V$82)),F7&lt;&gt;100),-1,SUM($U$23:$U$82)/SUM($V$23:$V$82))</f>
        <v>9.95454545454546</v>
      </c>
      <c r="E84" s="527" t="n">
        <f aca="false">O13</f>
        <v>22</v>
      </c>
      <c r="F84" s="453" t="n">
        <f aca="false">O14</f>
        <v>13</v>
      </c>
      <c r="G84" s="453" t="n">
        <f aca="false">O15</f>
        <v>5</v>
      </c>
      <c r="H84" s="453" t="n">
        <f aca="false">O16</f>
        <v>8</v>
      </c>
      <c r="I84" s="453" t="n">
        <f aca="false">O17</f>
        <v>0</v>
      </c>
      <c r="J84" s="528" t="n">
        <f aca="false">O8</f>
        <v>10</v>
      </c>
      <c r="K84" s="529" t="n">
        <f aca="false">O9</f>
        <v>3.11324712997663</v>
      </c>
      <c r="L84" s="530" t="n">
        <f aca="false">O10</f>
        <v>5</v>
      </c>
      <c r="M84" s="530" t="n">
        <f aca="false">O11</f>
        <v>15</v>
      </c>
      <c r="N84" s="529" t="n">
        <f aca="false">P8</f>
        <v>1.61538461538462</v>
      </c>
      <c r="O84" s="529" t="n">
        <f aca="false">P9</f>
        <v>0.48650425541052</v>
      </c>
      <c r="P84" s="530" t="n">
        <f aca="false">P10</f>
        <v>1</v>
      </c>
      <c r="Q84" s="530" t="n">
        <f aca="false">P11</f>
        <v>2</v>
      </c>
      <c r="R84" s="530" t="n">
        <f aca="false">F21</f>
        <v>1.192</v>
      </c>
      <c r="S84" s="530" t="n">
        <f aca="false">L11</f>
        <v>0</v>
      </c>
      <c r="T84" s="530" t="n">
        <f aca="false">L12</f>
        <v>6</v>
      </c>
      <c r="U84" s="530" t="n">
        <f aca="false">L13</f>
        <v>6</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12</v>
      </c>
      <c r="U87" s="281"/>
      <c r="V87" s="281"/>
    </row>
    <row r="88" customFormat="false" ht="12.75" hidden="true" customHeight="false" outlineLevel="0" collapsed="false">
      <c r="C88" s="534"/>
      <c r="D88" s="534"/>
      <c r="E88" s="534"/>
      <c r="R88" s="281" t="s">
        <v>3453</v>
      </c>
      <c r="S88" s="281"/>
      <c r="T88" s="536" t="n">
        <f aca="false">VLOOKUP($T$91,($A$23:$U$82),21,0)</f>
        <v>12</v>
      </c>
      <c r="U88" s="281"/>
      <c r="V88" s="281" t="n">
        <f aca="false">COUNTIF(V23:V82,T89)</f>
        <v>9</v>
      </c>
    </row>
    <row r="89" customFormat="false" ht="12.75" hidden="true" customHeight="false" outlineLevel="0" collapsed="false">
      <c r="C89" s="534"/>
      <c r="D89" s="534"/>
      <c r="E89" s="534"/>
      <c r="R89" s="281" t="s">
        <v>3454</v>
      </c>
      <c r="S89" s="281"/>
      <c r="T89" s="536" t="n">
        <f aca="false">MAX($V$23:$V$82)</f>
        <v>2</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10.35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2017-03-09T09:20:22Z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