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visible" r:id="rId5"/>
    <sheet name="notice" sheetId="4" state="hidden" r:id="rId6"/>
    <sheet name="note V4" sheetId="5" state="hidden" r:id="rId7"/>
    <sheet name="modele" sheetId="6" state="hidden" r:id="rId8"/>
    <sheet name="stati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station!$A$1:$Q$82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station!$A$1:$Q$82</definedName>
    <definedName function="false" hidden="false" localSheetId="6" name="_xlnm__FilterDatabase" vbProcedure="false">station!$A$1:$C$1415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<sst xmlns="http://schemas.openxmlformats.org/spreadsheetml/2006/main" count="8850" uniqueCount="3495">
  <si>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</si>
  <si>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</si>
  <si>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</si>
  <si>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</si>
  <si>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</si>
  <si>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</si>
  <si>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</si>
  <si>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</si>
  <si>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</si>
  <si>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</si>
  <si>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</si>
  <si>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</si>
  <si>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</si>
  <si>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</si>
  <si>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</si>
  <si>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</si>
  <si>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</si>
  <si>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</si>
  <si>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</si>
  <si>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</si>
  <si>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</si>
  <si>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</si>
  <si>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</si>
  <si>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</si>
  <si>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</si>
  <si>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</si>
  <si>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</si>
  <si>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</si>
  <si>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</si>
  <si>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</si>
  <si>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</si>
  <si>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</si>
  <si>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</si>
  <si>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</si>
  <si>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</si>
  <si>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</si>
  <si>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</si>
  <si>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</si>
  <si>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</si>
  <si>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</si>
  <si>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</si>
  <si>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</si>
  <si>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</si>
  <si>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</si>
  <si>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</si>
  <si>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</si>
  <si>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</si>
  <si>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</si>
  <si>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</si>
  <si>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</si>
  <si>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</si>
  <si>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</si>
  <si>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</si>
  <si>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</si>
  <si>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</si>
  <si>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</si>
  <si>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</si>
  <si>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</si>
  <si>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</si>
  <si>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</si>
  <si>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</si>
  <si>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</si>
  <si>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</si>
  <si>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</si>
  <si>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</si>
  <si>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</si>
  <si>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</si>
  <si>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</si>
  <si>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</si>
  <si>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</si>
  <si>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</si>
  <si>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</si>
  <si>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</si>
  <si>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</si>
  <si>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</si>
  <si>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</si>
  <si>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</si>
  <si>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</si>
  <si>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</si>
  <si>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</si>
  <si>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</si>
  <si>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</si>
  <si>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</si>
  <si>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</si>
  <si>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</si>
  <si>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</si>
  <si>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</si>
  <si>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</si>
  <si>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</si>
  <si>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</si>
  <si>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</si>
  <si>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</si>
  <si>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</si>
  <si>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</si>
  <si>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</si>
  <si>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</si>
  <si>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</si>
  <si>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</si>
  <si>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</si>
  <si>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</si>
  <si>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</si>
  <si>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</si>
  <si>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</si>
  <si>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</si>
  <si>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</si>
  <si>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</si>
  <si>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</si>
  <si>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</si>
  <si>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</si>
  <si>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</si>
  <si>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</si>
  <si>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</si>
  <si>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</si>
  <si>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</si>
  <si>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</si>
  <si>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</si>
  <si>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</si>
  <si>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</si>
  <si>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</si>
  <si>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</si>
  <si>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</si>
  <si>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</si>
  <si>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</si>
  <si>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</si>
  <si>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</si>
  <si>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</si>
  <si>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</si>
  <si>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</si>
  <si>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</si>
  <si>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</si>
  <si>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</si>
  <si>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</si>
  <si>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</si>
  <si>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</si>
  <si>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</si>
  <si>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</si>
  <si>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</si>
  <si>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</si>
  <si>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</si>
  <si>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</si>
  <si>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</si>
  <si>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</si>
  <si>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</si>
  <si>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</si>
  <si>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</si>
  <si>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</si>
  <si>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</si>
  <si>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</si>
  <si>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</si>
  <si>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</si>
  <si>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</si>
  <si>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</si>
  <si>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</si>
  <si>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</si>
  <si>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</si>
  <si>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</si>
  <si>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</si>
  <si>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</si>
  <si>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</si>
  <si>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</si>
  <si>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</si>
  <si>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</si>
  <si>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</si>
  <si>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</si>
  <si>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</si>
  <si>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</si>
  <si>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</si>
  <si>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</si>
  <si>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</si>
  <si>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</si>
  <si>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</si>
  <si>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</si>
  <si>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</si>
  <si>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</si>
  <si>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</si>
  <si>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</si>
  <si>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</si>
  <si>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</si>
  <si>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</si>
  <si>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</si>
  <si>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</si>
  <si>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</si>
  <si>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</si>
  <si>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</si>
  <si>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</si>
  <si>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</si>
  <si>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</si>
  <si>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</si>
  <si>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</si>
  <si>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</si>
  <si>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</si>
  <si>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</si>
  <si>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</si>
  <si>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</si>
  <si>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</si>
  <si>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</si>
  <si>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</si>
  <si>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</si>
  <si>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</si>
  <si>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</si>
  <si>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</si>
  <si>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</si>
  <si>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</si>
  <si>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</si>
  <si>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</si>
  <si>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</si>
  <si>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</si>
  <si>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</si>
  <si>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</si>
  <si>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</si>
  <si>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</si>
  <si>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</si>
  <si>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</si>
  <si>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</si>
  <si>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</si>
  <si>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</si>
  <si>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</si>
  <si>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</si>
  <si>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</si>
  <si>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</si>
  <si>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</si>
  <si>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</si>
  <si>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</si>
  <si>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</si>
  <si>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</si>
  <si>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</si>
  <si>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</si>
  <si>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</si>
  <si>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</si>
  <si>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</si>
  <si>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</si>
  <si>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</si>
  <si>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</si>
  <si>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</si>
  <si>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</si>
  <si>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</si>
  <si>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</si>
  <si>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</si>
  <si>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</si>
  <si>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</si>
  <si>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</si>
  <si>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</si>
  <si>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</si>
  <si>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</si>
  <si>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</si>
  <si>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</si>
  <si>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</si>
  <si>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</si>
  <si>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</si>
  <si>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</si>
  <si>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</si>
  <si>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</si>
  <si>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</si>
  <si>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</si>
  <si>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</si>
  <si>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</si>
  <si>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</si>
  <si>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</si>
  <si>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</si>
  <si>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</si>
  <si>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</si>
  <si>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</si>
  <si>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</si>
  <si>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</si>
  <si>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</si>
  <si>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</si>
  <si>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</si>
  <si>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</si>
  <si>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</si>
  <si>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</si>
  <si>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</si>
  <si>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</si>
  <si>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</si>
  <si>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</si>
  <si>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</si>
  <si>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</si>
  <si>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</si>
  <si>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</si>
  <si>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</si>
  <si>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</si>
  <si>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</si>
  <si>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</si>
  <si>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</si>
  <si>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</si>
  <si>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</si>
  <si>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</si>
  <si>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</si>
  <si>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</si>
  <si>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</si>
  <si>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</si>
  <si>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</si>
  <si>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</si>
  <si>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</si>
  <si>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</si>
  <si>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</si>
  <si>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</si>
  <si>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</si>
  <si>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</si>
  <si>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</si>
  <si>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</si>
  <si>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</si>
  <si>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</si>
  <si>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</si>
  <si>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</si>
  <si>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</si>
  <si>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</si>
  <si>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</si>
  <si>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</si>
  <si>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</si>
  <si>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</si>
  <si>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</si>
  <si>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</si>
  <si>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</si>
  <si>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</si>
  <si>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</si>
  <si>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</si>
  <si>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</si>
  <si>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</si>
  <si>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</si>
  <si>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</si>
  <si>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</si>
  <si>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</si>
  <si>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</si>
  <si>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</si>
  <si>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</si>
  <si>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</si>
  <si>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</si>
  <si>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</si>
  <si>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</si>
  <si>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</si>
  <si>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</si>
  <si>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</si>
  <si>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</si>
  <si>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</si>
  <si>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</si>
  <si>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</si>
  <si>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</si>
  <si>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</si>
  <si>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</si>
  <si>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</si>
  <si>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</si>
  <si>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</si>
  <si>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</si>
  <si>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</si>
  <si>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</si>
  <si>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</si>
  <si>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</si>
  <si>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</si>
  <si>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</si>
  <si>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</si>
  <si>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</si>
  <si>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</si>
  <si>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</si>
  <si>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</si>
  <si>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</si>
  <si>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</si>
  <si>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</si>
  <si>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</si>
  <si>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</si>
  <si>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</si>
  <si>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</si>
  <si>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</si>
  <si>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</si>
  <si>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</si>
  <si>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</si>
  <si>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</si>
  <si>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</si>
  <si>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</si>
  <si>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</si>
  <si>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</si>
  <si>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</si>
  <si>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</si>
  <si>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</si>
  <si>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</si>
  <si>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</si>
  <si>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</si>
  <si>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</si>
  <si>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</si>
  <si>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</si>
  <si>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</si>
  <si>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</si>
  <si>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</si>
  <si>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</si>
  <si>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</si>
  <si>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</si>
  <si>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</si>
  <si>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</si>
  <si>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</si>
  <si>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</si>
  <si>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</si>
  <si>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</si>
  <si>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</si>
  <si>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</si>
  <si>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</si>
  <si>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</si>
  <si>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</si>
  <si>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</si>
  <si>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</si>
  <si>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</si>
  <si>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</si>
  <si>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</si>
  <si>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</si>
  <si>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</si>
  <si>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</si>
  <si>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</si>
  <si>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</si>
  <si>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</si>
  <si>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</si>
  <si>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</si>
  <si>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</si>
  <si>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</si>
  <si>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</si>
  <si>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</si>
  <si>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</si>
  <si>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</si>
  <si>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</si>
  <si>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</si>
  <si>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</si>
  <si>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</si>
  <si>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</si>
  <si>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</si>
  <si>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</si>
  <si>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</si>
  <si>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</si>
  <si>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</si>
  <si>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</si>
  <si>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</si>
  <si>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</si>
  <si>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</si>
  <si>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</si>
  <si>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</si>
  <si>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</si>
  <si>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</si>
  <si>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</si>
  <si>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</si>
  <si>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</si>
  <si>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</si>
  <si>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</si>
  <si>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</si>
  <si>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</si>
  <si>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</si>
  <si>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</si>
  <si>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</si>
  <si>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</si>
  <si>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</si>
  <si>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</si>
  <si>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</si>
  <si>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</si>
  <si>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</si>
  <si>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</si>
  <si>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</si>
  <si>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</si>
  <si>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</si>
  <si>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</si>
  <si>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</si>
  <si>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</si>
  <si>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</si>
  <si>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</si>
  <si>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</si>
  <si>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</si>
  <si>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</si>
  <si>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</si>
  <si>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</si>
  <si>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</si>
  <si>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</si>
  <si>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</si>
  <si>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</si>
  <si>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</si>
  <si>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</si>
  <si>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</si>
  <si>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</si>
  <si>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</si>
  <si>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</si>
  <si>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</si>
  <si>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</si>
  <si>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</si>
  <si>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</si>
  <si>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</si>
  <si>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</si>
  <si>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</si>
  <si>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</si>
  <si>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</si>
  <si>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</si>
  <si>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</si>
  <si>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</si>
  <si>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</si>
  <si>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</si>
  <si>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</si>
  <si>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</si>
  <si>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</si>
  <si>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</si>
  <si>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</si>
  <si>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</si>
  <si>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</si>
  <si>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</si>
  <si>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</si>
  <si>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</si>
  <si>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</si>
  <si>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</si>
  <si>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</si>
  <si>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</si>
  <si>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</si>
  <si>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</si>
  <si>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</si>
  <si>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</si>
  <si>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</si>
  <si>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</si>
  <si>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</si>
  <si>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</si>
  <si>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</si>
  <si>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</si>
  <si>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</si>
  <si>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</si>
  <si>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</si>
  <si>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</si>
  <si>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</si>
  <si>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</si>
  <si>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</si>
  <si>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</si>
  <si>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</si>
  <si>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</si>
  <si>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</si>
  <si>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</si>
  <si>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</si>
  <si>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</si>
  <si>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</si>
  <si>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</si>
  <si>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</si>
  <si>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</si>
  <si>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</si>
  <si>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</si>
  <si>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</si>
  <si>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</si>
  <si>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</si>
  <si>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</si>
  <si>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</si>
  <si>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</si>
  <si>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</si>
  <si>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</si>
  <si>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</si>
  <si>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</si>
  <si>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</si>
  <si>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</si>
  <si>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</si>
  <si>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</si>
  <si>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</si>
  <si>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</si>
  <si>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</si>
  <si>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</si>
  <si>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</si>
  <si>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</si>
  <si>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</si>
  <si>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</si>
  <si>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</si>
  <si>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</si>
  <si>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</si>
  <si>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</si>
  <si>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</si>
  <si>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</si>
  <si>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</si>
  <si>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</si>
  <si>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</si>
  <si>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</si>
  <si>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</si>
  <si>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</si>
  <si>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</si>
  <si>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</si>
  <si>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</si>
  <si>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</si>
  <si>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</si>
  <si>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</si>
  <si>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</si>
  <si>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</si>
  <si>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</si>
  <si>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</si>
  <si>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</si>
  <si>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</si>
  <si>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</si>
  <si>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</si>
  <si>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</si>
  <si>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</si>
  <si>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</si>
  <si>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</si>
  <si>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</si>
  <si>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</si>
  <si>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</si>
  <si>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</si>
  <si>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</si>
  <si>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</si>
  <si>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</si>
  <si>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</si>
  <si>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</si>
  <si>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</si>
  <si>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</si>
  <si>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</si>
  <si>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</si>
  <si>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</si>
  <si>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</si>
  <si>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</si>
  <si>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</si>
  <si>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</si>
  <si>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</si>
  <si>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</si>
  <si>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</si>
  <si>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</si>
  <si>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</si>
  <si>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</si>
  <si>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</si>
  <si>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</si>
  <si>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</si>
  <si>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</si>
  <si>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</si>
  <si>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</si>
  <si>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</si>
  <si>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</si>
  <si>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</si>
  <si>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</si>
  <si>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</si>
  <si>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</si>
  <si>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</si>
  <si>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</si>
  <si>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</si>
  <si>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</si>
  <si>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</si>
  <si>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</si>
  <si>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</si>
  <si>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</si>
  <si>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</si>
  <si>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</si>
  <si>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</si>
  <si>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</si>
  <si>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</si>
  <si>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</si>
  <si>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</si>
  <si>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</si>
  <si>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</si>
  <si>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</si>
  <si>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</si>
  <si>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</si>
  <si>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</si>
  <si>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</si>
  <si>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</si>
  <si>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</si>
  <si>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</si>
  <si>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</si>
  <si>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</si>
  <si>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</si>
  <si>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</si>
  <si>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</si>
  <si>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</si>
  <si>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</si>
  <si>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</si>
  <si>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</si>
  <si>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</si>
  <si>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</si>
  <si>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</si>
  <si>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</si>
  <si>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</si>
  <si>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</si>
  <si>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</si>
  <si>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</si>
  <si>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</si>
  <si>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</si>
  <si>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</si>
  <si>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</si>
  <si>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</si>
  <si>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</si>
  <si>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</si>
  <si>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</si>
  <si>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</si>
  <si>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</si>
  <si>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</si>
  <si>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</si>
  <si>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</si>
  <si>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</si>
  <si>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</si>
  <si>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</si>
  <si>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</si>
  <si>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</si>
  <si>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</si>
  <si>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</si>
  <si>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</si>
  <si>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</si>
  <si>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</si>
  <si>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</si>
  <si>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</si>
  <si>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</si>
  <si>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</si>
  <si>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</si>
  <si>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</si>
  <si>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</si>
  <si>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</si>
  <si>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</si>
  <si>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</si>
  <si>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</si>
  <si>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</si>
  <si>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</si>
  <si>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</si>
  <si>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</si>
  <si>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</si>
  <si>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</si>
  <si>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</si>
  <si>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</si>
  <si>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</si>
  <si>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</si>
  <si>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</si>
  <si>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</si>
  <si>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</si>
  <si>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</si>
  <si>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</si>
  <si>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</si>
  <si>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</si>
  <si>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</si>
  <si>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</si>
  <si>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</si>
  <si>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</si>
  <si>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</si>
  <si>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</si>
  <si>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</si>
  <si>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</si>
  <si>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</si>
  <si>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</si>
  <si>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</si>
  <si>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</si>
  <si>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</si>
  <si>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</si>
  <si>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</si>
  <si>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</si>
  <si>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</si>
  <si>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</si>
  <si>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</si>
  <si>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</si>
  <si>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</si>
  <si>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</si>
  <si>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</si>
  <si>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</si>
  <si>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</si>
  <si>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</si>
  <si>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</si>
  <si>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</si>
  <si>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</si>
  <si>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</si>
  <si>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</si>
  <si>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</si>
  <si>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</si>
  <si>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</si>
  <si>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</si>
  <si>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</si>
  <si>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</si>
  <si>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</si>
  <si>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</si>
  <si>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</si>
  <si>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</si>
  <si>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</si>
  <si>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</si>
  <si>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</si>
  <si>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</si>
  <si>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</si>
  <si>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</si>
  <si>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</si>
  <si>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</si>
  <si>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</si>
  <si>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</si>
  <si>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</si>
  <si>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</si>
  <si>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</si>
  <si>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</si>
  <si>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</si>
  <si>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</si>
  <si>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</si>
  <si>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</si>
  <si>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</si>
  <si>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</si>
  <si>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</si>
  <si>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</si>
  <si>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</si>
  <si>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</si>
  <si>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</si>
  <si>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</si>
  <si>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</si>
  <si>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</si>
  <si>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</si>
  <si>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</si>
  <si>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</si>
  <si>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</si>
  <si>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</si>
  <si>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</si>
  <si>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</si>
  <si>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</si>
  <si>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</si>
  <si>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</si>
  <si>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</si>
  <si>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</si>
  <si>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</si>
  <si>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</si>
  <si>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</si>
  <si>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</si>
  <si>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</si>
  <si>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</si>
  <si>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</si>
  <si>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</si>
  <si>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</si>
  <si>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</si>
  <si>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</si>
  <si>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</si>
  <si>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</si>
  <si>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</si>
  <si>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</si>
  <si>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</si>
  <si>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</si>
  <si>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</si>
  <si>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</si>
  <si>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</si>
  <si>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</si>
  <si>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</si>
  <si>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</si>
  <si>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</si>
  <si>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</si>
  <si>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</si>
  <si>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</si>
  <si>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</si>
  <si>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</si>
  <si>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</si>
  <si>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</si>
  <si>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</si>
  <si>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</si>
  <si>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</si>
  <si>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</si>
  <si>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</si>
  <si>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</si>
  <si>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</si>
  <si>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</si>
  <si>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</si>
  <si>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</si>
  <si>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</si>
  <si>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</si>
  <si>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</si>
  <si>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</si>
  <si>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</si>
  <si>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</si>
  <si>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</si>
  <si>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</si>
  <si>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</si>
  <si>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</si>
  <si>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</si>
  <si>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</si>
  <si>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</si>
  <si>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</si>
  <si>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</si>
  <si>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</si>
  <si>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</si>
  <si>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</si>
  <si>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</si>
  <si>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</si>
  <si>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</si>
  <si>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</si>
  <si>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</si>
  <si>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</si>
  <si>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</si>
  <si>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</si>
  <si>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</si>
  <si>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</si>
  <si>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</si>
  <si>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</si>
  <si>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</si>
  <si>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</si>
  <si>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</si>
  <si>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</si>
  <si>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</si>
  <si>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</si>
  <si>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</si>
  <si>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</si>
  <si>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</si>
  <si>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</si>
  <si>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</si>
  <si>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</si>
  <si>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</si>
  <si>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</si>
  <si>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</si>
  <si>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</si>
  <si>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</si>
  <si>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</si>
  <si>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</si>
  <si>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</si>
  <si>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</si>
  <si>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</si>
  <si>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</si>
  <si>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</si>
  <si>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</si>
  <si>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</si>
  <si>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</si>
  <si>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</si>
  <si>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</si>
  <si>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</si>
  <si>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</si>
  <si>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</si>
  <si>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</si>
  <si>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</si>
  <si>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</si>
  <si>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</si>
  <si>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</si>
  <si>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</si>
  <si>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</si>
  <si>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</si>
  <si>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</si>
  <si>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</si>
  <si>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</si>
  <si>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</si>
  <si>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</si>
  <si>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</si>
  <si>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</si>
  <si>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</si>
  <si>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</si>
  <si>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</si>
  <si>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</si>
  <si>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</si>
  <si>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</si>
  <si>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</si>
  <si>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</si>
  <si>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</si>
  <si>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</si>
  <si>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</si>
  <si>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</si>
  <si>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</si>
  <si>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</si>
  <si>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</si>
  <si>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</si>
  <si>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</si>
  <si>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</si>
  <si>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</si>
  <si>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</si>
  <si>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</si>
  <si>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</si>
  <si>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</si>
  <si>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</si>
  <si>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</si>
  <si>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</si>
  <si>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</si>
  <si>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</si>
  <si>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</si>
  <si>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</si>
  <si>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</si>
  <si>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</si>
  <si>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</si>
  <si>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</si>
  <si>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</si>
  <si>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</si>
  <si>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</si>
  <si>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</si>
  <si>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</si>
  <si>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</si>
  <si>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</si>
  <si>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</si>
  <si>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</si>
  <si>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</si>
  <si>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</si>
  <si>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</si>
  <si>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</si>
  <si>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</si>
  <si>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</si>
  <si>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</si>
  <si>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</si>
  <si>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</si>
  <si>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</si>
  <si>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</si>
  <si>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</si>
  <si>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</si>
  <si>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</si>
  <si>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</si>
  <si>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</si>
  <si>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</si>
  <si>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</si>
  <si>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</si>
  <si>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</si>
  <si>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</si>
  <si>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</si>
  <si>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</si>
  <si>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</si>
  <si>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</si>
  <si>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</si>
  <si>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</si>
  <si>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</si>
  <si>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</si>
  <si>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</si>
  <si>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</si>
  <si>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</si>
  <si>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</si>
  <si>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</si>
  <si>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</si>
  <si>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</si>
  <si>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</si>
  <si>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</si>
  <si>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</si>
  <si>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</si>
  <si>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</si>
  <si>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</si>
  <si>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</si>
  <si>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</si>
  <si>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</si>
  <si>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</si>
  <si>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</si>
  <si>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</si>
  <si>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</si>
  <si>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</si>
  <si>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</si>
  <si>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</si>
  <si>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</si>
  <si>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</si>
  <si>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</si>
  <si>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</si>
  <si>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</si>
  <si>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</si>
  <si>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</si>
  <si>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</si>
  <si>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</si>
  <si>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</si>
  <si>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</si>
  <si>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</si>
  <si>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</si>
  <si>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</si>
  <si>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</si>
  <si>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</si>
  <si>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</si>
  <si>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</si>
  <si>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</si>
  <si>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</si>
  <si>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</si>
  <si>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</si>
  <si>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</si>
  <si>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</si>
  <si>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</si>
  <si>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</si>
  <si>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</si>
  <si>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</si>
  <si>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</si>
  <si>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</si>
  <si>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</si>
  <si>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</si>
  <si>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</si>
  <si>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</si>
  <si>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</si>
  <si>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</si>
  <si>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</si>
  <si>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</si>
  <si>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</si>
  <si>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</si>
  <si>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</si>
  <si>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</si>
  <si>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</si>
  <si>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</si>
  <si>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</si>
  <si>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</si>
  <si>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</si>
  <si>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</si>
  <si>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</si>
  <si>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</si>
  <si>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</si>
  <si>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</si>
  <si>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</si>
  <si>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</si>
  <si>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</si>
  <si>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</si>
  <si>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</si>
  <si>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</si>
  <si>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</si>
  <si>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</si>
  <si>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</si>
  <si>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</si>
  <si>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</si>
  <si>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</si>
  <si>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</si>
  <si>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</si>
  <si>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</si>
  <si>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</si>
  <si>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</si>
  <si>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</si>
  <si>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</si>
  <si>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</si>
  <si>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</si>
  <si>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</si>
  <si>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</si>
  <si>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</si>
  <si>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</si>
  <si>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</si>
  <si>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</si>
  <si>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</si>
  <si>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</si>
  <si>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</si>
  <si>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</si>
  <si>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</si>
  <si>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</si>
  <si>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</si>
  <si>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</si>
  <si>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</si>
  <si>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</si>
  <si>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</si>
  <si>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</si>
  <si>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</si>
  <si>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</si>
  <si>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</si>
  <si>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</si>
  <si>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</si>
  <si>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</si>
  <si>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</si>
  <si>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</si>
  <si>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</si>
  <si>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</si>
  <si>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</si>
  <si>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</si>
  <si>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</si>
  <si>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</si>
  <si>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</si>
  <si>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</si>
  <si>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</si>
  <si>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</si>
  <si>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</si>
  <si>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</si>
  <si>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</si>
  <si>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</si>
  <si>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</si>
  <si>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</si>
  <si>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</si>
  <si>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</si>
  <si>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</si>
  <si>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</si>
  <si>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</si>
  <si>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</si>
  <si>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</si>
  <si>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</si>
  <si>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</si>
  <si>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</si>
  <si>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</si>
  <si>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</si>
  <si>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</si>
  <si>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</si>
  <si>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</si>
  <si>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</si>
  <si>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</si>
  <si>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</si>
  <si>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</si>
  <si>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</si>
  <si>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</si>
  <si>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</si>
  <si>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</si>
  <si>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</si>
  <si>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</si>
  <si>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</si>
  <si>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</si>
  <si>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</si>
  <si>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</si>
  <si>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</si>
  <si>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</si>
  <si>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</si>
  <si>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</si>
  <si>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</si>
  <si>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</si>
  <si>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</si>
  <si>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</si>
  <si>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</si>
  <si>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</si>
  <si>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</si>
  <si>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</si>
  <si>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</si>
  <si>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</si>
  <si>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</si>
  <si>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</si>
  <si>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</si>
  <si>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</si>
  <si>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</si>
  <si>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</si>
  <si>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</si>
  <si>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</si>
  <si>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</si>
  <si>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</si>
  <si>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</si>
  <si>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</si>
  <si>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</si>
  <si>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</si>
  <si>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</si>
  <si>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</si>
  <si>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</si>
  <si>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</si>
  <si>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</si>
  <si>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</si>
  <si>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</si>
  <si>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</si>
  <si>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</si>
  <si>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</si>
  <si>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</si>
  <si>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</si>
  <si>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</si>
  <si>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</si>
  <si>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</si>
  <si>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</si>
  <si>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</si>
  <si>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</si>
  <si>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</si>
  <si>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</si>
  <si>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</si>
  <si>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</si>
  <si>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</si>
  <si>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</si>
  <si>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</si>
  <si>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</si>
  <si>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</si>
  <si>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</si>
  <si>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</si>
  <si>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</si>
  <si>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</si>
  <si>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</si>
  <si>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</si>
  <si>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</si>
  <si>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</si>
  <si>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</si>
  <si>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</si>
  <si>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</si>
  <si>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</si>
  <si>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</si>
  <si>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</si>
  <si>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</si>
  <si>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</si>
  <si>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</si>
  <si>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</si>
  <si>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</si>
  <si>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</si>
  <si>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</si>
  <si>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</si>
  <si>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</si>
  <si>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</si>
  <si>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</si>
  <si>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</si>
  <si>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</si>
  <si>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</si>
  <si>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</si>
  <si>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</si>
  <si>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</si>
  <si>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</si>
  <si>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</si>
  <si>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</si>
  <si>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</si>
  <si>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</si>
  <si>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</si>
  <si>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</si>
  <si>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</si>
  <si>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</si>
  <si>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</si>
  <si>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</si>
  <si>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</si>
  <si>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</si>
  <si>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</si>
  <si>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</si>
  <si>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</si>
  <si>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</si>
  <si>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</si>
  <si>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</si>
  <si>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</si>
  <si>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</si>
  <si>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</si>
  <si>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</si>
  <si>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</si>
  <si>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</si>
  <si>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</si>
  <si>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</si>
  <si>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</si>
  <si>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</si>
  <si>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</si>
  <si>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</si>
  <si>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</si>
  <si>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</si>
  <si>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</si>
  <si>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</si>
  <si>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</si>
  <si>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</si>
  <si>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</si>
  <si>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</si>
  <si>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</si>
  <si>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</si>
  <si>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</si>
  <si>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</si>
  <si>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</si>
  <si>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</si>
  <si>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</si>
  <si>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</si>
  <si>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</si>
  <si>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</si>
  <si>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</si>
  <si>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</si>
  <si>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</si>
  <si>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</si>
  <si>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</si>
  <si>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</si>
  <si>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</si>
  <si>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</si>
  <si>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</si>
  <si>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</si>
  <si>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</si>
  <si>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</si>
  <si>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</si>
  <si>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</si>
  <si>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</si>
  <si>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</si>
  <si>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</si>
  <si>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</si>
  <si>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</si>
  <si>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</si>
  <si>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</si>
  <si>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</si>
  <si>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</si>
  <si>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</si>
  <si>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</si>
  <si>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</si>
  <si>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</si>
  <si>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</si>
  <si>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</si>
  <si>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</si>
  <si>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</si>
  <si>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</si>
  <si>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</si>
  <si>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</si>
  <si>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</si>
  <si>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</si>
  <si>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</si>
  <si>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</si>
  <si>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</si>
  <si>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</si>
  <si>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</si>
  <si>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</si>
  <si>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</si>
  <si>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</si>
  <si>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</si>
  <si>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</si>
  <si>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</si>
  <si>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</si>
  <si>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</si>
  <si>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</si>
  <si>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</si>
  <si>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</si>
  <si>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</si>
  <si>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</si>
  <si>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</si>
  <si>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</si>
  <si>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</si>
  <si>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</si>
  <si>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</si>
  <si>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</si>
  <si>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</si>
  <si>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</si>
  <si>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</si>
  <si>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</si>
  <si>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</si>
  <si>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</si>
  <si>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</si>
  <si>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</si>
  <si>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</si>
  <si>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</si>
  <si>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</si>
  <si>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</si>
  <si>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</si>
  <si>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</si>
  <si>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</si>
  <si>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</si>
  <si>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</si>
  <si>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</si>
  <si>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</si>
  <si>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</si>
  <si>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</si>
  <si>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</si>
  <si>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</si>
  <si>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</si>
  <si>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</si>
  <si>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</si>
  <si>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</si>
  <si>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</si>
  <si>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</si>
  <si>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</si>
  <si>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</si>
  <si>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</si>
  <si>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</si>
  <si>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</si>
  <si>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</si>
  <si>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</si>
  <si>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</si>
  <si>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</si>
  <si>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</si>
  <si>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</si>
  <si>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</si>
  <si>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</si>
  <si>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</si>
  <si>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</si>
  <si>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</si>
  <si>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</si>
  <si>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</si>
  <si>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</si>
  <si>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</si>
  <si>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</si>
  <si>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</si>
  <si>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</si>
  <si>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</si>
  <si>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</si>
  <si>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</si>
  <si>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</si>
  <si>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</si>
  <si>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</si>
  <si>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</si>
  <si>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</si>
  <si>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</si>
  <si>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</si>
  <si>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</si>
  <si>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</si>
  <si>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</si>
  <si>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</si>
  <si>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</si>
  <si>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</si>
  <si>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</si>
  <si>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</si>
  <si>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</si>
  <si>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</si>
  <si>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</si>
  <si>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</si>
  <si>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</si>
  <si>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</si>
  <si>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</si>
  <si>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</si>
  <si>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</si>
  <si>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</si>
  <si>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</si>
  <si>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</si>
  <si>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</si>
  <si>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</si>
  <si>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</si>
  <si>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</si>
  <si>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</si>
  <si>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</si>
  <si>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</si>
  <si>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</si>
  <si>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</si>
  <si>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</si>
  <si>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</si>
  <si>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</si>
  <si>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</si>
  <si>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</si>
  <si>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</si>
  <si>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</si>
  <si>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</si>
  <si>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</si>
  <si>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</si>
  <si>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</si>
  <si>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</si>
  <si>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</si>
  <si>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</si>
  <si>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</si>
  <si>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</si>
  <si>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</si>
  <si>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</si>
  <si>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</si>
  <si>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</si>
  <si>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</si>
  <si>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</si>
  <si>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</si>
  <si>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</si>
  <si>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</si>
  <si>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</si>
  <si>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</si>
  <si>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</si>
  <si>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</si>
  <si>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</si>
  <si>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</si>
  <si>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</si>
  <si>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</si>
  <si>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</si>
  <si>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</si>
  <si>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</si>
  <si>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</si>
  <si>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</si>
  <si>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</si>
  <si>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</si>
  <si>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</si>
  <si>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</si>
  <si>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</si>
  <si>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</si>
  <si>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</si>
  <si>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</si>
  <si>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</si>
  <si>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</si>
  <si>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</si>
  <si>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</si>
  <si>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</si>
  <si>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</si>
  <si>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</si>
  <si>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</si>
  <si>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</si>
  <si>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</si>
  <si>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</si>
  <si>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</si>
  <si>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</si>
  <si>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</si>
  <si>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</si>
  <si>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</si>
  <si>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</si>
  <si>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</si>
  <si>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</si>
  <si>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</si>
  <si>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</si>
  <si>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</si>
  <si>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</si>
  <si>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</si>
  <si>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</si>
  <si>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</si>
  <si>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</si>
  <si>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</si>
  <si>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</si>
  <si>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</si>
  <si>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</si>
  <si>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</si>
  <si>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</si>
  <si>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</si>
  <si>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</si>
  <si>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</si>
  <si>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</si>
  <si>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</si>
  <si>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</si>
  <si>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</si>
  <si>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</si>
  <si>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</si>
  <si>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</si>
  <si>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</si>
  <si>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</si>
  <si>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</si>
  <si>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</si>
  <si>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</si>
  <si>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</si>
  <si>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</si>
  <si>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</si>
  <si>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</si>
  <si>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</si>
  <si>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</si>
  <si>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</si>
  <si>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</si>
  <si>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</si>
  <si>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</si>
  <si>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</si>
  <si>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</si>
  <si>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</si>
  <si>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</si>
  <si>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</si>
  <si>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</si>
  <si>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</si>
  <si>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</si>
  <si>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</si>
  <si>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</si>
  <si>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</si>
  <si>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</si>
  <si>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</si>
  <si>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</si>
  <si>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</si>
  <si>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</si>
  <si>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</si>
  <si>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</si>
  <si>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</si>
  <si>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</si>
  <si>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</si>
  <si>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</si>
  <si>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</si>
  <si>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</si>
  <si>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</si>
  <si>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</si>
  <si>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</si>
  <si>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</si>
  <si>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</si>
  <si>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</si>
  <si>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</si>
  <si>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</si>
  <si>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</si>
  <si>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</si>
  <si>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</si>
  <si>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</si>
  <si>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</si>
  <si>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</si>
  <si>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</si>
  <si>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</si>
  <si>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</si>
  <si>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</si>
  <si>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</si>
  <si>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</si>
  <si>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</si>
  <si>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</si>
  <si>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</si>
  <si>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</si>
  <si>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</si>
  <si>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</si>
  <si>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</si>
  <si>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</si>
  <si>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</si>
  <si>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</si>
  <si>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</si>
  <si>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</si>
  <si>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</si>
  <si>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</si>
  <si>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</si>
  <si>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</si>
  <si>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</si>
  <si>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</si>
  <si>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</si>
  <si>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</si>
  <si>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</si>
  <si>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</si>
  <si>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</si>
  <si>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</si>
  <si>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</si>
  <si>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</si>
  <si>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</si>
  <si>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</si>
  <si>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</si>
  <si>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</si>
  <si>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</si>
  <si>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</si>
  <si>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</si>
  <si>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</si>
  <si>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</si>
  <si>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</si>
  <si>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</si>
  <si>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</si>
  <si>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</si>
  <si>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</si>
  <si>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</si>
  <si>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</si>
  <si>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</si>
  <si>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</si>
  <si>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</si>
  <si>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</si>
  <si>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</si>
  <si>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</si>
  <si>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</si>
  <si>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</si>
  <si>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</si>
  <si>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</si>
  <si>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</si>
  <si>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</si>
  <si>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</si>
  <si>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</si>
  <si>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</si>
  <si>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</si>
  <si>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</si>
  <si>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</si>
  <si>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</si>
  <si>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</si>
  <si>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</si>
  <si>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</si>
  <si>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</si>
  <si>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</si>
  <si>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</si>
  <si>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</si>
  <si>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</si>
  <si>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</si>
  <si>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</si>
  <si>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</si>
  <si>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</si>
  <si>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</si>
  <si>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</si>
  <si>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</si>
  <si>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</si>
  <si>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</si>
  <si>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</si>
  <si>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</si>
  <si>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</si>
  <si>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</si>
  <si>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</si>
  <si>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</si>
  <si>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</si>
  <si>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</si>
  <si>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</si>
  <si>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</si>
  <si>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</si>
  <si>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</si>
  <si>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</si>
  <si>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</si>
  <si>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</si>
  <si>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</si>
  <si>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</si>
  <si>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</si>
  <si>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</si>
  <si>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</si>
  <si>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</si>
  <si>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</si>
  <si>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</si>
  <si>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</si>
  <si>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</si>
  <si>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</si>
  <si>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</si>
  <si>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</si>
  <si>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</si>
  <si>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</si>
  <si>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</si>
  <si>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</si>
  <si>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</si>
  <si>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</si>
  <si>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</si>
  <si>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</si>
  <si>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</si>
  <si>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</si>
  <si>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</si>
  <si>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</si>
  <si>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</si>
  <si>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</si>
  <si>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</si>
  <si>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</si>
  <si>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</si>
  <si>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</si>
  <si>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</si>
  <si>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</si>
  <si>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</si>
  <si>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</si>
  <si>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</si>
  <si>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</si>
  <si>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</si>
  <si>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</si>
  <si>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</si>
  <si>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</si>
  <si>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</si>
  <si>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</si>
  <si>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</si>
  <si>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</si>
  <si>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</si>
  <si>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</si>
  <si>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</si>
  <si>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</si>
  <si>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</si>
  <si>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</si>
  <si>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</si>
  <si>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</si>
  <si>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</si>
  <si>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</si>
  <si>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</si>
  <si>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</si>
  <si>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</si>
  <si>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</si>
  <si>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</si>
  <si>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</si>
  <si>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</si>
  <si>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</si>
  <si>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</si>
  <si>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</si>
  <si>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</si>
  <si>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</si>
  <si>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</si>
  <si>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</si>
  <si>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</si>
  <si>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</si>
  <si>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</si>
  <si>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</si>
  <si>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</si>
  <si>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</si>
  <si>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</si>
  <si>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</si>
  <si>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</si>
  <si>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</si>
  <si>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</si>
  <si>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</si>
  <si>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</si>
  <si>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</si>
  <si>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</si>
  <si>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</si>
  <si>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</si>
  <si>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</si>
  <si>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</si>
  <si>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</si>
  <si>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</si>
  <si>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</si>
  <si>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</si>
  <si>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</si>
  <si>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</si>
  <si>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</si>
  <si>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</si>
  <si>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</si>
  <si>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</si>
  <si>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</si>
  <si>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</si>
  <si>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</si>
  <si>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</si>
  <si>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</si>
  <si>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</si>
  <si>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</si>
  <si>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</si>
  <si>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</si>
  <si>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</si>
  <si>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</si>
  <si>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</si>
  <si>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</si>
  <si>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</si>
  <si>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</si>
  <si>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</si>
  <si>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</si>
  <si>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</si>
  <si>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</si>
  <si>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</si>
  <si>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</si>
  <si>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</si>
  <si>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</si>
  <si>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</si>
  <si>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</si>
  <si>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</si>
  <si>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</si>
  <si>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</si>
  <si>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</si>
  <si>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</si>
  <si>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</si>
  <si>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</si>
  <si>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</si>
  <si>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</si>
  <si>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</si>
  <si>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</si>
  <si>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</si>
  <si>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</si>
  <si>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</si>
  <si>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</si>
  <si>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</si>
  <si>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</si>
  <si>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</si>
  <si>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</si>
  <si>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</si>
  <si>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</si>
  <si>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</si>
  <si>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</si>
  <si>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</si>
  <si>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</si>
  <si>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</si>
  <si>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</si>
  <si>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</si>
  <si>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</si>
  <si>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</si>
  <si>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</si>
  <si>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</si>
  <si>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</si>
  <si>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</si>
  <si>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</si>
  <si>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</si>
  <si>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</si>
  <si>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</si>
  <si>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</si>
  <si>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</si>
  <si>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</si>
  <si>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</si>
  <si>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</si>
  <si>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</si>
  <si>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</si>
  <si>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</si>
  <si>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</si>
  <si>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</si>
  <si>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</si>
  <si>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</si>
  <si>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</si>
  <si>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</si>
  <si>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</si>
  <si>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</si>
  <si>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</si>
  <si>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</si>
  <si>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</si>
  <si>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</si>
  <si>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</si>
  <si>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</si>
  <si>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</si>
  <si>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</si>
  <si>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</si>
  <si>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</si>
  <si>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</si>
  <si>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</si>
  <si>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</si>
  <si>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</si>
  <si>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</si>
  <si>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</si>
  <si>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</si>
  <si>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</si>
  <si>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</si>
  <si>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</si>
  <si>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</si>
  <si>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</si>
  <si>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</si>
  <si>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</si>
  <si>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</si>
  <si>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</si>
  <si>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</si>
  <si>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</si>
  <si>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</si>
  <si>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</si>
  <si>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</si>
  <si>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</si>
  <si>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</si>
  <si>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</si>
  <si>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</si>
  <si>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</si>
  <si>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</si>
  <si>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</si>
  <si>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</si>
  <si>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</si>
  <si>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</si>
  <si>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</si>
  <si>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</si>
  <si>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</si>
  <si>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</si>
  <si>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</si>
  <si>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</si>
  <si>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</si>
  <si>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</si>
  <si>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</si>
  <si>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</si>
  <si>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</si>
  <si>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</si>
  <si>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</si>
  <si>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</si>
  <si>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</si>
  <si>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</si>
  <si>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</si>
  <si>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</si>
  <si>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</si>
  <si>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</si>
  <si>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</si>
  <si>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</si>
  <si>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</si>
  <si>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</si>
  <si>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</si>
  <si>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</si>
  <si>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</si>
  <si>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</si>
  <si>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</si>
  <si>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</si>
  <si>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</si>
  <si>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</si>
  <si>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</si>
  <si>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</si>
  <si>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</si>
  <si>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</si>
  <si>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</si>
  <si>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</si>
  <si>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</si>
  <si>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</si>
  <si>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</si>
  <si>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</si>
  <si>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</si>
  <si>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</si>
  <si>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</si>
  <si>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</si>
  <si>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</si>
  <si>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</si>
  <si>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</si>
  <si>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</si>
  <si>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</si>
  <si>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</si>
  <si>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</si>
  <si>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</si>
  <si>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</si>
  <si>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</si>
  <si>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</si>
  <si>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</si>
  <si>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</si>
  <si>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</si>
  <si>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</si>
  <si>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</si>
  <si>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</si>
  <si>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</si>
  <si>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</si>
  <si>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</si>
  <si>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</si>
  <si>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</si>
  <si>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</si>
  <si>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</si>
  <si>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</si>
  <si>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</si>
  <si>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</si>
  <si>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</si>
  <si>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</si>
  <si>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</si>
  <si>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</si>
  <si>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</si>
  <si>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</si>
  <si>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</si>
  <si>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</si>
  <si>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</si>
  <si>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</si>
  <si>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</si>
  <si>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</si>
  <si>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</si>
  <si>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</si>
  <si>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</si>
  <si>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</si>
  <si>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</si>
  <si>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</si>
  <si>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</si>
  <si>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</si>
  <si>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</si>
  <si>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</si>
  <si>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</si>
  <si>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</si>
  <si>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</si>
  <si>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</si>
  <si>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</si>
  <si>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</si>
  <si>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</si>
  <si>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</si>
  <si>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</si>
  <si>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</si>
  <si>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</si>
  <si>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</si>
  <si>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</si>
  <si>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</si>
  <si>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</si>
  <si>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</si>
  <si>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</si>
  <si>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</si>
  <si>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</si>
  <si>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</si>
  <si>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</si>
  <si>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</si>
  <si>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</si>
  <si>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</si>
  <si>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</si>
  <si>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</si>
  <si>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</si>
  <si>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</si>
  <si>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</si>
  <si>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</si>
  <si>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</si>
  <si>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</si>
  <si>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</si>
  <si>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</si>
  <si>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</si>
  <si>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</si>
  <si>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</si>
  <si>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</si>
  <si>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</si>
  <si>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</si>
  <si>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</si>
  <si>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</si>
  <si>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</si>
  <si>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</si>
  <si>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</si>
  <si>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</si>
  <si>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</si>
  <si>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</si>
  <si>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</si>
  <si>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</si>
  <si>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</si>
  <si>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</si>
  <si>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</si>
  <si>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</si>
  <si>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</si>
  <si>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</si>
  <si>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</si>
  <si>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</si>
  <si>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</si>
  <si>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</si>
  <si>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</si>
  <si>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</si>
  <si>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</si>
  <si>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</si>
  <si>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</si>
  <si>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</si>
  <si>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</si>
  <si>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</si>
  <si>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</si>
  <si>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</si>
  <si>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</si>
  <si>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</si>
  <si>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</si>
  <si>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</si>
  <si>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</si>
  <si>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</si>
  <si>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</si>
  <si>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</si>
  <si>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</si>
  <si>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</si>
  <si>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</si>
  <si>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</si>
  <si>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</si>
  <si>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</si>
  <si>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</si>
  <si>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</si>
  <si>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</si>
  <si>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</si>
  <si>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</si>
  <si>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</si>
  <si>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</si>
  <si>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</si>
  <si>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</si>
  <si>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</si>
  <si>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</si>
  <si>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</si>
  <si>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</si>
  <si>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</si>
  <si>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</si>
  <si>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</si>
  <si>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</si>
  <si>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</si>
  <si>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</si>
  <si>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</si>
  <si>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</si>
  <si>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</si>
  <si>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</si>
  <si>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</si>
  <si>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</si>
  <si>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</si>
  <si>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</si>
  <si>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</si>
  <si>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</si>
  <si>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</si>
  <si>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</si>
  <si>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</si>
  <si>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</si>
  <si>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</si>
  <si>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</si>
  <si>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</si>
  <si>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</si>
  <si>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</si>
  <si>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</si>
  <si>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</si>
  <si>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</si>
  <si>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</si>
  <si>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</si>
  <si>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</si>
  <si>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</si>
  <si>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</si>
  <si>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</si>
  <si>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</si>
  <si>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</si>
  <si>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</si>
  <si>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</si>
  <si>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</si>
  <si>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</si>
  <si>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</si>
  <si>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</si>
  <si>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</si>
  <si>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</si>
  <si>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</si>
  <si>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</si>
  <si>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</si>
  <si>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</si>
  <si>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</si>
  <si>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</si>
  <si>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</si>
  <si>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</si>
  <si>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</si>
  <si>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</si>
  <si>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</si>
  <si>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</si>
  <si>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</si>
  <si>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</si>
  <si>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</si>
  <si>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</si>
  <si>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</si>
  <si>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</si>
  <si>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</si>
  <si>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</si>
  <si>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</si>
  <si>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</si>
  <si>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</si>
  <si>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</si>
  <si>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</si>
  <si>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</si>
  <si>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</si>
  <si>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</si>
  <si>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</si>
  <si>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</si>
  <si>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</si>
  <si>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</si>
  <si>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</si>
  <si>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</si>
  <si>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</si>
  <si>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</si>
  <si>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</si>
  <si>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</si>
  <si>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</si>
  <si>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</si>
  <si>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</si>
  <si>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</si>
  <si>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</si>
  <si>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</si>
  <si>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</si>
  <si>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</si>
  <si>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</si>
  <si>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</si>
  <si>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</si>
  <si>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</si>
  <si>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</si>
  <si>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</si>
  <si>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</si>
  <si>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</si>
  <si>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</si>
  <si>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</si>
  <si>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</si>
  <si>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</si>
  <si>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</si>
  <si>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</si>
  <si>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</si>
  <si>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</si>
  <si>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</si>
  <si>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</si>
  <si>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</si>
  <si>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</si>
  <si>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</si>
  <si>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</si>
  <si>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</si>
  <si>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</si>
  <si>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</si>
  <si>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</si>
  <si>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</si>
  <si>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</si>
  <si>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</si>
  <si>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</si>
  <si>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</si>
  <si>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</si>
  <si>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</si>
  <si>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</si>
  <si>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</si>
  <si>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</si>
  <si>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</si>
  <si>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</si>
  <si>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</si>
  <si>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</si>
  <si>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</si>
  <si>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</si>
  <si>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</si>
  <si>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</si>
  <si>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</si>
  <si>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</si>
  <si>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</si>
  <si>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</si>
  <si>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</si>
  <si>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</si>
  <si>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</si>
  <si>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</si>
  <si>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</si>
  <si>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</si>
  <si>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</si>
  <si>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</si>
  <si>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</si>
  <si>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</si>
  <si>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</si>
  <si>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</si>
  <si>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</si>
  <si>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</si>
  <si>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</si>
  <si>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</si>
  <si>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</si>
  <si>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</si>
  <si>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</si>
  <si>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</si>
  <si>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</si>
  <si>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</si>
  <si>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</si>
  <si>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</si>
  <si>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</si>
  <si>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</si>
  <si>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</si>
  <si>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</si>
  <si>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</si>
  <si>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</si>
  <si>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</si>
  <si>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</si>
  <si>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</si>
  <si>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</si>
  <si>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</si>
  <si>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</si>
  <si>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</si>
  <si>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</si>
  <si>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</si>
  <si>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</si>
  <si>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</si>
  <si>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</si>
  <si>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</si>
  <si>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</si>
  <si>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</si>
  <si>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</si>
  <si>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</si>
  <si>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</si>
  <si>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</si>
  <si>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</si>
  <si>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</si>
  <si>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</si>
  <si>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</si>
  <si>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</si>
  <si>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</si>
  <si>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</si>
  <si>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</si>
  <si>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</si>
  <si>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</si>
  <si>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</si>
  <si>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</si>
  <si>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</si>
  <si>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</si>
  <si>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</si>
  <si>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</si>
  <si>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</si>
  <si>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</si>
  <si>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</si>
  <si>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</si>
  <si>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</si>
  <si>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</si>
  <si>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</si>
  <si>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</si>
  <si>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</si>
  <si>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</si>
  <si>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</si>
  <si>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</si>
  <si>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</si>
  <si>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</si>
  <si>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</si>
  <si>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</si>
  <si>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</si>
  <si>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</si>
  <si>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</si>
  <si>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</si>
  <si>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</si>
  <si>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</si>
  <si>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</si>
  <si>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</si>
  <si>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</si>
  <si>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</si>
  <si>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</si>
  <si>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</si>
  <si>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</si>
  <si>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</si>
  <si>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</si>
  <si>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</si>
  <si>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</si>
  <si>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</si>
  <si>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</si>
  <si>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</si>
  <si>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</si>
  <si>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</si>
  <si>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</si>
  <si>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</si>
  <si>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</si>
  <si>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</si>
  <si>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</si>
  <si>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</si>
  <si>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</si>
  <si>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</si>
  <si>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</si>
  <si>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</si>
  <si>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</si>
  <si>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</si>
  <si>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</si>
  <si>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</si>
  <si>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</si>
  <si>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</si>
  <si>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</si>
  <si>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</si>
  <si>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</si>
  <si>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</si>
  <si>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</si>
  <si>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</si>
  <si>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</si>
  <si>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</si>
  <si>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</si>
  <si>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</si>
  <si>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</si>
  <si>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</si>
  <si>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</si>
  <si>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</si>
  <si>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</si>
  <si>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</si>
  <si>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</si>
  <si>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</si>
  <si>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</si>
  <si>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</si>
  <si>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</si>
  <si>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</si>
  <si>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</si>
  <si>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</si>
  <si>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</si>
  <si>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</si>
  <si>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</si>
  <si>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</si>
  <si>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</si>
  <si>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</si>
  <si>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</si>
  <si>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</si>
  <si>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</si>
  <si>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</si>
  <si>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</si>
  <si>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</si>
  <si>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</si>
  <si>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</si>
  <si>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</si>
  <si>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</si>
  <si>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</si>
  <si>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</si>
  <si>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</si>
  <si>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</si>
  <si>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</si>
  <si>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</si>
  <si>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</si>
  <si>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</si>
  <si>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</si>
  <si>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</si>
  <si>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</si>
  <si>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</si>
  <si>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</si>
  <si>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</si>
  <si>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</si>
  <si>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</si>
  <si>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</si>
  <si>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</si>
  <si>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</si>
  <si>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</si>
  <si>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</si>
  <si>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</si>
  <si>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</si>
  <si>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</si>
  <si>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</si>
  <si>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</si>
  <si>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</si>
  <si>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</si>
  <si>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</si>
  <si>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</si>
  <si>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</si>
  <si>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</si>
  <si>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</si>
  <si>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</si>
  <si>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</si>
  <si>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</si>
  <si>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</si>
  <si>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</si>
  <si>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</si>
  <si>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</si>
  <si>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</si>
  <si>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</si>
  <si>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</si>
  <si>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</si>
  <si>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</si>
  <si>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</si>
  <si>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</si>
  <si>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</si>
  <si>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</si>
  <si>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</si>
  <si>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</si>
  <si>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</si>
  <si>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</si>
  <si>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</si>
  <si>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</si>
  <si>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</si>
  <si>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</si>
  <si>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</si>
  <si>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</si>
  <si>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</si>
  <si>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</si>
  <si>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</si>
  <si>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</si>
  <si>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</si>
  <si>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</si>
  <si>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</si>
  <si>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</si>
  <si>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</si>
  <si>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</si>
  <si>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</si>
  <si>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</si>
  <si>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</si>
  <si>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</si>
  <si>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</si>
  <si>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</si>
  <si>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</si>
  <si>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</si>
  <si>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</si>
  <si>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</si>
  <si>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</si>
  <si>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</si>
  <si>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</si>
  <si>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</si>
  <si>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</si>
  <si>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</si>
  <si>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</si>
  <si>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</si>
  <si>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</si>
  <si>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</si>
  <si>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</si>
  <si>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</si>
  <si>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</si>
  <si>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</si>
  <si>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</si>
  <si>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</si>
  <si>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</si>
  <si>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</si>
  <si>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</si>
  <si>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</si>
  <si>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</si>
  <si>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</si>
  <si>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</si>
  <si>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</si>
  <si>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</si>
  <si>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</si>
  <si>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</si>
  <si>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</si>
  <si>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</si>
  <si>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</si>
  <si>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</si>
  <si>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</si>
  <si>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</si>
  <si>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</si>
  <si>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</si>
  <si>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</si>
  <si>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</si>
  <si>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</si>
  <si>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</si>
  <si>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</si>
  <si>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</si>
  <si>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</si>
  <si>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</si>
  <si>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</si>
  <si>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</si>
  <si>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</si>
  <si>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</si>
  <si>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</si>
  <si>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</si>
  <si>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</si>
  <si>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</si>
  <si>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</si>
  <si>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</si>
  <si>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</si>
  <si>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</si>
  <si>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</si>
  <si>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</si>
  <si>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</si>
  <si>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</si>
  <si>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</si>
  <si>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</si>
  <si>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</si>
  <si>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</si>
  <si>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</si>
  <si>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</si>
  <si>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</si>
  <si>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</si>
  <si>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</si>
  <si>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</si>
  <si>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</si>
  <si>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</si>
  <si>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</si>
  <si>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</si>
  <si>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</si>
  <si>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</si>
  <si>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</si>
  <si>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</si>
  <si>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</si>
  <si>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</si>
  <si>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</si>
  <si>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</si>
  <si>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</si>
  <si>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</si>
  <si>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</si>
  <si>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</si>
  <si>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</si>
  <si>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</si>
  <si>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</si>
  <si>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</si>
  <si>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</si>
  <si>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</si>
  <si>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</si>
  <si>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</si>
  <si>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</si>
  <si>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</si>
  <si>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</si>
  <si>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</si>
  <si>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</si>
  <si>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</si>
  <si>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</si>
  <si>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</si>
  <si>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</si>
  <si>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</si>
  <si>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</si>
  <si>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</si>
  <si>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</si>
  <si>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</si>
  <si>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</si>
  <si>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</si>
  <si>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</si>
  <si>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</si>
  <si>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</si>
  <si>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</si>
  <si>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</si>
  <si>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</si>
  <si>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</si>
  <si>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</si>
  <si>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</si>
  <si>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</si>
  <si>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</si>
  <si>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</si>
  <si>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</si>
  <si>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</si>
  <si>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</si>
  <si>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</si>
  <si>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</si>
  <si>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</si>
  <si>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</si>
  <si>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</si>
  <si>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</si>
  <si>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</si>
  <si>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</si>
  <si>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</si>
  <si>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</si>
  <si>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</si>
  <si>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</si>
  <si>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</si>
  <si>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</si>
  <si>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</si>
  <si>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</si>
  <si>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</si>
  <si>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</si>
  <si>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</si>
  <si>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</si>
  <si>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</si>
  <si>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</si>
  <si>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</si>
  <si>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</si>
  <si>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</si>
  <si>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</si>
  <si>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</si>
  <si>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</si>
  <si>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</si>
  <si>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</si>
  <si>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</si>
  <si>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</si>
  <si>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</si>
  <si>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</si>
  <si>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</si>
  <si>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</si>
  <si>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</si>
  <si>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</si>
  <si>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</si>
  <si>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</si>
  <si>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</si>
  <si>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</si>
  <si>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</si>
  <si>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</si>
  <si>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</si>
  <si>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</si>
  <si>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</si>
  <si>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</si>
  <si>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</si>
  <si>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</si>
  <si>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</si>
  <si>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</si>
  <si>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</si>
  <si>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</si>
  <si>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</si>
  <si>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</si>
  <si>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</si>
  <si>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</si>
  <si>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</si>
  <si>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</si>
  <si>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</si>
  <si>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</si>
  <si>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</si>
  <si>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</si>
  <si>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</si>
  <si>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</si>
  <si>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</si>
  <si>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</si>
  <si>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</si>
  <si>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</si>
  <si>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</si>
  <si>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</si>
  <si>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</si>
  <si>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</si>
  <si>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</si>
  <si>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</si>
  <si>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</si>
  <si>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</si>
  <si>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</si>
  <si>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</si>
  <si>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</si>
  <si>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</si>
  <si>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</si>
  <si>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</si>
  <si>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</si>
  <si>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</si>
  <si>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</si>
  <si>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</si>
  <si>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</si>
  <si>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</si>
  <si>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</si>
  <si>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</si>
  <si>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</si>
  <si>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</si>
  <si>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</si>
  <si>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</si>
  <si>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</si>
  <si>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</si>
  <si>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</si>
  <si>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</si>
  <si>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</si>
  <si>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</si>
  <si>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</si>
  <si>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</si>
  <si>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</si>
  <si>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</si>
  <si>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</si>
  <si>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</si>
  <si>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</si>
  <si>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</si>
  <si>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</si>
  <si>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</si>
  <si>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</si>
  <si>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</si>
  <si>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</si>
  <si>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</si>
  <si>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</si>
  <si>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</si>
  <si>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</si>
  <si>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</si>
  <si>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</si>
  <si>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</si>
  <si>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</si>
  <si>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</si>
  <si>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</si>
  <si>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</si>
  <si>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</si>
  <si>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</si>
  <si>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</si>
  <si>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</si>
  <si>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</si>
  <si>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</si>
  <si>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</si>
  <si>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</si>
  <si>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</si>
  <si>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</si>
  <si>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</si>
  <si>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</si>
  <si>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</si>
  <si>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</si>
  <si>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</si>
  <si>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</si>
  <si>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</si>
  <si>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</si>
  <si>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</si>
  <si>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</si>
  <si>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</si>
  <si>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</si>
  <si>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</si>
  <si>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</si>
  <si>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</si>
  <si>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</si>
  <si>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</si>
  <si>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</si>
  <si>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</si>
  <si>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</si>
  <si>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</si>
  <si>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</si>
  <si>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</si>
  <si>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</si>
  <si>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</si>
  <si>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</si>
  <si>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</si>
  <si>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</si>
  <si>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</si>
  <si>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</si>
  <si>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</si>
  <si>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</si>
  <si>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</si>
  <si>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</si>
  <si>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</si>
  <si>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</si>
  <si>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</si>
  <si>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</si>
  <si>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</si>
  <si>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</si>
  <si>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</si>
  <si>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</si>
  <si>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</si>
  <si>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</si>
  <si>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</si>
  <si>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</si>
  <si>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</si>
  <si>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</si>
  <si>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</si>
  <si>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</si>
  <si>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</si>
  <si>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</si>
  <si>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</si>
  <si>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</si>
  <si>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</si>
  <si>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</si>
  <si>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</si>
  <si>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</si>
  <si>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</si>
  <si>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</si>
  <si>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</si>
  <si>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</si>
  <si>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</si>
  <si>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</si>
  <si>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</si>
  <si>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</si>
  <si>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</si>
  <si>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</si>
  <si>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</si>
  <si>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</si>
  <si>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</si>
  <si>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</si>
  <si>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</si>
  <si>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</si>
  <si>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</si>
  <si>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</si>
  <si>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</si>
  <si>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</si>
  <si>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</si>
  <si>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</si>
  <si>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</si>
  <si>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</si>
  <si>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</si>
  <si>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</si>
  <si>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</si>
  <si>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</si>
  <si>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</si>
  <si>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</si>
  <si>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</si>
  <si>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</si>
  <si>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</si>
  <si>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</si>
  <si>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</si>
  <si>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</si>
  <si>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</si>
  <si>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</si>
  <si>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</si>
  <si>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</si>
  <si>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</si>
  <si>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</si>
  <si>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</si>
  <si>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</si>
  <si>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</si>
  <si>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</si>
  <si>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</si>
  <si>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</si>
  <si>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</si>
  <si>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</si>
  <si>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</si>
  <si>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</si>
  <si>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</si>
  <si>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</si>
  <si>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</si>
  <si>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</si>
  <si>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</si>
  <si>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</si>
  <si>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</si>
  <si>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</si>
  <si>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</si>
  <si>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</si>
  <si>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</si>
  <si>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</si>
  <si>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</si>
  <si>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</si>
  <si>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</si>
  <si>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</si>
  <si>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</si>
  <si>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</si>
  <si>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</si>
  <si>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</si>
  <si>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</si>
  <si>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</si>
  <si>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</si>
  <si>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</si>
  <si>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</si>
  <si>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</si>
  <si>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</si>
  <si>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</si>
  <si>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</si>
  <si>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</si>
  <si>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</si>
  <si>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</si>
  <si>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</si>
  <si>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</si>
  <si>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</si>
  <si>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</si>
  <si>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</si>
  <si>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</si>
  <si>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</si>
  <si>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</si>
  <si>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</si>
  <si>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</si>
  <si>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</si>
  <si>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</si>
  <si>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</si>
  <si>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</si>
  <si>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</si>
  <si>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</si>
  <si>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</si>
  <si>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</si>
  <si>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</si>
  <si>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</si>
  <si>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</si>
  <si>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</si>
  <si>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</si>
  <si>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</si>
  <si>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</si>
  <si>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</si>
  <si>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</si>
  <si>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</si>
  <si>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</si>
  <si>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</si>
  <si>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</si>
  <si>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</si>
  <si>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</si>
  <si>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</si>
  <si>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</si>
  <si>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</si>
  <si>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</si>
  <si>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</si>
  <si>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</si>
  <si>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</si>
  <si>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</si>
  <si>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</si>
  <si>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</si>
  <si>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</si>
  <si>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</si>
  <si>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</si>
  <si>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</si>
  <si>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</si>
  <si>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</si>
  <si>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</si>
  <si>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</si>
  <si>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</si>
  <si>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</si>
  <si>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</si>
  <si>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</si>
  <si>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</si>
  <si>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</si>
  <si>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</si>
  <si>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</si>
  <si>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</si>
  <si>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</si>
  <si>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</si>
  <si>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</si>
  <si>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</si>
  <si>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</si>
  <si>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</si>
  <si>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</si>
  <si>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</si>
  <si>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</si>
  <si>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</si>
  <si>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</si>
  <si>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</si>
  <si>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</si>
  <si>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</si>
  <si>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</si>
  <si>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</si>
  <si>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</si>
  <si>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</si>
  <si>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</si>
  <si>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</si>
  <si>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</si>
  <si>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</si>
  <si>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</si>
  <si>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</si>
  <si>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</si>
  <si>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</si>
  <si>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</si>
  <si>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</si>
  <si>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</si>
  <si>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</si>
  <si>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</si>
  <si>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</si>
  <si>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</si>
  <si>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</si>
  <si>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</si>
  <si>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</si>
  <si>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</si>
  <si>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</si>
  <si>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</si>
  <si>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</si>
  <si>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</si>
  <si>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</si>
  <si>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</si>
  <si>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</si>
  <si>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</si>
  <si>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</si>
  <si>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</si>
  <si>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</si>
  <si>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</si>
  <si>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</si>
  <si>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</si>
  <si>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</si>
  <si>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</si>
  <si>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</si>
  <si>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</si>
  <si>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</si>
  <si>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</si>
  <si>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</si>
  <si>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</si>
  <si>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</si>
  <si>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</si>
  <si>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</si>
  <si>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</si>
  <si>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</si>
  <si>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</si>
  <si>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</si>
  <si>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</si>
  <si>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</si>
  <si>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</si>
  <si>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</si>
  <si>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</si>
  <si>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</si>
  <si>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</si>
  <si>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</si>
  <si>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</si>
  <si>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</si>
  <si>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</si>
  <si>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</si>
  <si>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</si>
  <si>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</si>
  <si>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</si>
  <si>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</si>
  <si>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</si>
  <si>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</si>
  <si>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</si>
  <si>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</si>
  <si>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</si>
  <si>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</si>
  <si>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</si>
  <si>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</si>
  <si>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</si>
  <si>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</si>
  <si>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</si>
  <si>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</si>
  <si>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</si>
  <si>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</si>
  <si>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</si>
  <si>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</si>
  <si>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</si>
  <si>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</si>
  <si>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</si>
  <si>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</si>
  <si>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</si>
  <si>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</si>
  <si>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</si>
  <si>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</si>
  <si>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</si>
  <si>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</si>
  <si>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</si>
  <si>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</si>
  <si>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</si>
  <si>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</si>
  <si>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</si>
  <si>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</si>
  <si>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</si>
  <si>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</si>
  <si>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</si>
  <si>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</si>
  <si>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</si>
  <si>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</si>
  <si>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</si>
  <si>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</si>
  <si>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</si>
  <si>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</si>
  <si>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</si>
  <si>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</si>
  <si>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</si>
  <si>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</si>
  <si>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</si>
  <si>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</si>
  <si>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</si>
  <si>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</si>
  <si>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</si>
  <si>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</si>
  <si>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</si>
  <si>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</si>
  <si>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</si>
  <si>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</si>
  <si>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</si>
  <si>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</si>
  <si>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</si>
  <si>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</si>
  <si>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</si>
  <si>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</si>
  <si>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</si>
  <si>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</si>
  <si>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</si>
  <si>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</si>
  <si>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</si>
  <si>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</si>
  <si>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</si>
  <si>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</si>
  <si>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</si>
  <si>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</si>
  <si>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</si>
  <si>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</si>
  <si>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</si>
  <si>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</si>
  <si>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</si>
  <si>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</si>
  <si>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</si>
  <si>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</si>
  <si>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</si>
  <si>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</si>
  <si>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</si>
  <si>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</si>
  <si>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</si>
  <si>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</si>
  <si>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</si>
  <si>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</si>
  <si>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</si>
  <si>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</si>
  <si>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</si>
  <si>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</si>
  <si>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</si>
  <si>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</si>
  <si>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</si>
  <si>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</si>
  <si>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</si>
  <si>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</si>
  <si>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</si>
  <si>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</si>
  <si>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</si>
  <si>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</si>
  <si>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</si>
  <si>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</si>
  <si>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</si>
  <si>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</si>
  <si>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</si>
  <si>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</si>
  <si>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</si>
  <si>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</si>
  <si>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</si>
  <si>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</si>
  <si>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</si>
  <si>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</si>
  <si>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</si>
  <si>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</si>
  <si>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</si>
  <si>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</si>
  <si>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</si>
  <si>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</si>
  <si>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</si>
  <si>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</si>
  <si>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</si>
  <si>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</si>
  <si>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</si>
  <si>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</si>
  <si>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</si>
  <si>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</si>
  <si>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</si>
  <si>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</si>
  <si>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</si>
  <si>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</si>
  <si>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</si>
  <si>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</si>
  <si>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</si>
  <si>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</si>
  <si>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</si>
  <si>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</si>
  <si>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</si>
  <si>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</si>
  <si>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</si>
  <si>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</si>
  <si>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</si>
  <si>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</si>
  <si>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</si>
  <si>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</si>
  <si>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</si>
  <si>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</si>
  <si>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</si>
  <si>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</si>
  <si>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</si>
  <si>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</si>
  <si>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</si>
  <si>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</si>
  <si>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</si>
  <si>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</si>
  <si>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</si>
  <si>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</si>
  <si>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</si>
  <si>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</si>
  <si>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</si>
  <si>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</si>
  <si>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</si>
  <si>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</si>
  <si>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</si>
  <si>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</si>
  <si>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</si>
  <si>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</si>
  <si>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</si>
  <si>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</si>
  <si>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</si>
  <si>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</si>
  <si>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</si>
  <si>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</si>
  <si>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</si>
  <si>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</si>
  <si>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</si>
  <si>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</si>
  <si>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</si>
  <si>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</si>
  <si>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</si>
  <si>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</si>
  <si>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</si>
  <si>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</si>
  <si>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</si>
  <si>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</si>
  <si>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</si>
  <si>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</si>
  <si>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</si>
  <si>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</si>
  <si>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</si>
  <si>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</si>
  <si>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</si>
  <si>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</si>
  <si>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</si>
  <si>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</si>
  <si>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</si>
  <si>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</si>
  <si>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</si>
  <si>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</si>
  <si>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</si>
  <si>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</si>
  <si>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</si>
  <si>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</si>
  <si>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</si>
  <si>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</si>
  <si>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</si>
  <si>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</si>
  <si>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</si>
  <si>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</si>
  <si>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</si>
  <si>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</si>
  <si>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</si>
  <si>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</si>
  <si>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</si>
  <si>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</si>
  <si>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</si>
  <si>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</si>
  <si>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</si>
  <si>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</si>
  <si>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</si>
  <si>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</si>
  <si>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</si>
  <si>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</si>
  <si>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</si>
  <si>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</si>
  <si>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</si>
  <si>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</si>
  <si>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</si>
  <si>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</si>
  <si>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</si>
  <si>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</si>
  <si>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</si>
  <si>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</si>
  <si>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</si>
  <si>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</si>
  <si>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</si>
  <si>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</si>
  <si>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</si>
  <si>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</si>
  <si>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</si>
  <si>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</si>
  <si>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</si>
  <si>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</si>
  <si>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</si>
  <si>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</si>
  <si>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</si>
  <si>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</si>
  <si>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</si>
  <si>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</si>
  <si>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</si>
  <si>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</si>
  <si>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</si>
  <si>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</si>
  <si>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</si>
  <si>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</si>
  <si>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</si>
  <si>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</si>
  <si>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</si>
  <si>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</si>
  <si>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</si>
  <si>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</si>
  <si>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</si>
  <si>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</si>
  <si>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</si>
  <si>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</si>
  <si>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</si>
  <si>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</si>
  <si>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</si>
  <si>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</si>
  <si>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</si>
  <si>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</si>
  <si>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</si>
  <si>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</si>
  <si>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</si>
  <si>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</si>
  <si>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</si>
  <si>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</si>
  <si>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</si>
  <si>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</si>
  <si>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</si>
  <si>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</si>
  <si>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</si>
  <si>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</si>
  <si>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</si>
  <si>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</si>
  <si>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</si>
  <si>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</si>
  <si>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</si>
  <si>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</si>
  <si>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</si>
  <si>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</si>
  <si>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</si>
  <si>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</si>
  <si>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</si>
  <si>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</si>
  <si>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</si>
  <si>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</si>
  <si>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</si>
  <si>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</si>
  <si>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</si>
  <si>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</si>
  <si>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</si>
  <si>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</si>
  <si>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</si>
  <si>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</si>
  <si>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</si>
  <si>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</si>
  <si>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</si>
  <si>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</si>
  <si>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</si>
  <si>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</si>
  <si>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</si>
  <si>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</si>
  <si>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</si>
  <si>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</si>
  <si>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</si>
  <si>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</si>
  <si>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</si>
  <si>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</si>
  <si>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</si>
  <si>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</si>
  <si>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</si>
  <si>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</si>
  <si>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</si>
  <si>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</si>
  <si>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</si>
  <si>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</si>
  <si>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</si>
  <si>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</si>
  <si>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</si>
  <si>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</si>
  <si>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</si>
  <si>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</si>
  <si>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</si>
  <si>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</si>
  <si>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</si>
  <si>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</si>
  <si>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</si>
  <si>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</si>
  <si>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</si>
  <si>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</si>
  <si>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</si>
  <si>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</si>
  <si>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</si>
  <si>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</si>
  <si>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</si>
  <si>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</si>
  <si>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</si>
  <si>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</si>
  <si>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</si>
  <si>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</si>
  <si>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</si>
  <si>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</si>
  <si>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</si>
  <si>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</si>
  <si>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</si>
  <si>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</si>
  <si>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</si>
  <si>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</si>
  <si>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</si>
  <si>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</si>
  <si>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</si>
  <si>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</si>
  <si>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L'Adour</t>
  </si>
  <si>
    <t xml:space="preserve">L'Adour à Estirac</t>
  </si>
  <si>
    <t xml:space="preserve">(Date)</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</si>
  <si>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</si>
  <si>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</si>
  <si>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</si>
  <si>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</si>
  <si>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</si>
  <si>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</si>
  <si>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</si>
  <si>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</si>
  <si>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</si>
  <si>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</si>
  <si>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</si>
  <si>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</si>
  <si>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</si>
  <si>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</si>
  <si>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</si>
  <si>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</si>
  <si>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</si>
  <si>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</si>
  <si>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</si>
  <si>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</si>
  <si>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</si>
  <si>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</si>
  <si>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</si>
  <si>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</si>
  <si>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</si>
  <si>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</si>
  <si>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</si>
  <si>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</si>
  <si>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</si>
  <si>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</si>
  <si>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</si>
  <si>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</si>
  <si>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</si>
  <si>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</si>
  <si>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</si>
  <si>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</si>
  <si>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</si>
  <si>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</si>
  <si>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</si>
  <si>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</si>
  <si>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</si>
  <si>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</si>
  <si>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</si>
  <si>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</si>
  <si>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</si>
  <si>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</si>
  <si>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</si>
  <si>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</si>
  <si>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</si>
  <si>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</si>
  <si>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</si>
  <si>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</si>
  <si>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</si>
  <si>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</si>
  <si>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</si>
  <si>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</si>
  <si>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</si>
  <si>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</si>
  <si>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</si>
  <si>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</si>
  <si>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</si>
  <si>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</si>
  <si>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</si>
  <si>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</si>
  <si>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</si>
  <si>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</si>
  <si>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</si>
  <si>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</si>
  <si>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</si>
  <si>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</si>
  <si>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</si>
  <si>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</si>
  <si>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</si>
  <si>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</si>
  <si>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</si>
  <si>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</si>
  <si>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</si>
  <si>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</si>
  <si>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</si>
  <si>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</si>
  <si>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</si>
  <si>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AQUABIO</t>
  </si>
  <si>
    <t xml:space="preserve">Aurélie JOSSET, Majlis DURAND</t>
  </si>
  <si>
    <t xml:space="preserve">05234019</t>
  </si>
  <si>
    <t xml:space="preserve">pl. courant</t>
  </si>
  <si>
    <t xml:space="preserve">moyen</t>
  </si>
  <si>
    <t xml:space="preserve">cf.</t>
  </si>
  <si>
    <t xml:space="preserve">NEWCOD</t>
  </si>
  <si>
    <t xml:space="preserve">Eunotia sp.</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</si>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</sst>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tru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t="s">
        <v>3371</v>
      </c>
      <c r="B9" s="226" t="s">
        <v>3372</v>
      </c>
      <c r="C9" s="227" t="s">
        <v>3373</v>
      </c>
      <c r="D9" s="228" t="n">
        <v>10.3921568627451</v>
      </c>
      <c r="E9" s="229" t="n">
        <v>26</v>
      </c>
      <c r="F9" s="230" t="n">
        <v>21</v>
      </c>
      <c r="G9" s="231" t="n">
        <v>7</v>
      </c>
      <c r="H9" s="232" t="n">
        <v>14</v>
      </c>
      <c r="I9" s="230" t="n">
        <v>0</v>
      </c>
      <c r="J9" s="233" t="n">
        <v>10.1428571428571</v>
      </c>
      <c r="K9" s="234" t="n">
        <v>2.89968330431206</v>
      </c>
      <c r="L9" s="235" t="n">
        <v>4</v>
      </c>
      <c r="M9" s="236" t="n">
        <v>15</v>
      </c>
      <c r="N9" s="237" t="n">
        <v>1.66666666666667</v>
      </c>
      <c r="O9" s="234" t="n">
        <v>0.471404520791032</v>
      </c>
      <c r="P9" s="235" t="n">
        <v>1</v>
      </c>
      <c r="Q9" s="236" t="n">
        <v>2</v>
      </c>
      <c r="R9" s="238" t="n">
        <v>13.4323075317964</v>
      </c>
      <c r="S9" s="239" t="n">
        <v>0</v>
      </c>
      <c r="T9" s="235" t="n">
        <v>12</v>
      </c>
      <c r="U9" s="235" t="n">
        <v>2</v>
      </c>
      <c r="V9" s="235" t="n">
        <v>10</v>
      </c>
      <c r="W9" s="236" t="n">
        <v>10</v>
      </c>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59" t="s">
        <v>3375</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3376</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73" t="s">
        <v>3377</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3376</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3379</v>
      </c>
      <c r="B2" s="286"/>
      <c r="C2" s="287" t="s">
        <v>3380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3381</v>
      </c>
      <c r="B3" s="286"/>
      <c r="C3" s="285" t="s">
        <v>3382</v>
      </c>
      <c r="D3" s="296"/>
      <c r="E3" s="296"/>
      <c r="F3" s="297"/>
      <c r="G3" s="297"/>
      <c r="H3" s="296"/>
      <c r="I3" s="281"/>
      <c r="J3" s="288"/>
      <c r="K3" s="298"/>
      <c r="L3" s="299" t="s">
        <v>3383</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367</v>
      </c>
      <c r="C4" s="306"/>
      <c r="D4" s="307"/>
      <c r="E4" s="307"/>
      <c r="F4" s="306"/>
      <c r="G4" s="308"/>
      <c r="H4" s="307"/>
      <c r="I4" s="281"/>
      <c r="J4" s="309" t="s">
        <v>3385</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3389</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3391</v>
      </c>
      <c r="B7" s="341"/>
      <c r="C7" s="342"/>
      <c r="D7" s="330"/>
      <c r="E7" s="330"/>
      <c r="F7" s="343" t="n">
        <f aca="false">B7+C7</f>
        <v>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3397</v>
      </c>
      <c r="B9" s="358"/>
      <c r="C9" s="359"/>
      <c r="D9" s="360"/>
      <c r="E9" s="360"/>
      <c r="F9" s="361" t="n">
        <f aca="false">($B9*$B$7+$C9*$C$7)/100</f>
        <v>0</v>
      </c>
      <c r="G9" s="362"/>
      <c r="H9" s="317"/>
      <c r="I9" s="281"/>
      <c r="J9" s="363"/>
      <c r="K9" s="364"/>
      <c r="L9" s="347"/>
      <c r="M9" s="365"/>
      <c r="N9" s="355" t="s">
        <v>3398</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0</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0</v>
      </c>
      <c r="M13" s="381"/>
      <c r="N13" s="389" t="s">
        <v>3409</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0</v>
      </c>
      <c r="M15" s="381"/>
      <c r="N15" s="389" t="s">
        <v>3415</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str">
        <f aca="false">IF(ISERROR((O13-(COUNTIF(J23:J82,"nc")))/O13),"-",(O13-(COUNTIF(J23:J82,"nc")))/O13)</f>
        <v>-</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0</v>
      </c>
      <c r="C20" s="433" t="n">
        <f aca="false">SUM(C23:C82)</f>
        <v>0</v>
      </c>
      <c r="D20" s="434"/>
      <c r="E20" s="435" t="s">
        <v>3422</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0</v>
      </c>
      <c r="C21" s="444" t="n">
        <f aca="false">C20*C7/100</f>
        <v>0</v>
      </c>
      <c r="D21" s="445" t="s">
        <v>3425</v>
      </c>
      <c r="E21" s="446"/>
      <c r="F21" s="447" t="n">
        <f aca="false">B21+C21</f>
        <v>0</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3445</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3445</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3445</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3445</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3445</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3445</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3445</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3445</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3445</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3445</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3445</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3445</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3445</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3445</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3445</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3445</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3445</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3445</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3445</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3445</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e">
        <f aca="false">VLOOKUP($T$91,($A$23:$U$82),20,0)</f>
        <v>#N/A</v>
      </c>
      <c r="U87" s="281"/>
      <c r="V87" s="281"/>
    </row>
    <row r="88" customFormat="false" ht="12.75" hidden="true" customHeight="false" outlineLevel="0" collapsed="false">
      <c r="C88" s="534"/>
      <c r="D88" s="534"/>
      <c r="E88" s="534"/>
      <c r="R88" s="281" t="s">
        <v>3448</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3449</v>
      </c>
      <c r="S89" s="281"/>
      <c r="T89" s="536" t="n">
        <f aca="false">MAX($V$23:$V$82)</f>
        <v>0</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3452</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3453</v>
      </c>
      <c r="S92" s="281"/>
      <c r="T92" s="281" t="n">
        <f aca="false">MATCH(T89,$V$23:$V$82,0)</f>
        <v>1</v>
      </c>
      <c r="U92" s="281"/>
    </row>
    <row r="93" customFormat="false" ht="12.75" hidden="true" customHeight="false" outlineLevel="0" collapsed="false">
      <c r="C93" s="534"/>
      <c r="D93" s="534"/>
      <c r="E93" s="534"/>
      <c r="R93" s="485" t="s">
        <v>3454</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3455</v>
      </c>
      <c r="B2" s="286"/>
      <c r="C2" s="287" t="s">
        <v>3456</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3371</v>
      </c>
      <c r="B3" s="286"/>
      <c r="C3" s="285" t="s">
        <v>3372</v>
      </c>
      <c r="D3" s="296"/>
      <c r="E3" s="296"/>
      <c r="F3" s="297"/>
      <c r="G3" s="297"/>
      <c r="H3" s="296"/>
      <c r="I3" s="281"/>
      <c r="J3" s="288"/>
      <c r="K3" s="298"/>
      <c r="L3" s="299" t="s">
        <v>3457</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42619</v>
      </c>
      <c r="C4" s="306"/>
      <c r="D4" s="307"/>
      <c r="E4" s="307"/>
      <c r="F4" s="306"/>
      <c r="G4" s="308"/>
      <c r="H4" s="307"/>
      <c r="I4" s="281"/>
      <c r="J4" s="309" t="s">
        <v>3385</v>
      </c>
      <c r="K4" s="310"/>
      <c r="L4" s="310"/>
      <c r="M4" s="311"/>
      <c r="N4" s="311"/>
      <c r="O4" s="312" t="s">
        <v>3451</v>
      </c>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t="n">
        <v>10.3921568627451</v>
      </c>
      <c r="N5" s="324"/>
      <c r="O5" s="325" t="s">
        <v>151</v>
      </c>
      <c r="P5" s="326" t="n">
        <v>10.1777777777778</v>
      </c>
      <c r="Q5" s="327"/>
      <c r="R5" s="281"/>
      <c r="S5" s="281"/>
      <c r="T5" s="281"/>
      <c r="U5" s="281"/>
      <c r="V5" s="281"/>
      <c r="W5" s="295"/>
      <c r="X5" s="0"/>
      <c r="Y5" s="0"/>
      <c r="Z5" s="0"/>
    </row>
    <row r="6" customFormat="false" ht="13.5" hidden="false" customHeight="false" outlineLevel="0" collapsed="false">
      <c r="A6" s="314" t="s">
        <v>3389</v>
      </c>
      <c r="B6" s="328" t="s">
        <v>3458</v>
      </c>
      <c r="C6" s="329" t="s">
        <v>3458</v>
      </c>
      <c r="D6" s="330"/>
      <c r="E6" s="330"/>
      <c r="F6" s="331"/>
      <c r="G6" s="319"/>
      <c r="H6" s="317"/>
      <c r="I6" s="281"/>
      <c r="J6" s="332"/>
      <c r="K6" s="333"/>
      <c r="L6" s="334" t="s">
        <v>3390</v>
      </c>
      <c r="M6" s="335" t="s">
        <v>3459</v>
      </c>
      <c r="N6" s="336"/>
      <c r="O6" s="337" t="n">
        <v>3</v>
      </c>
      <c r="P6" s="338" t="s">
        <v>3459</v>
      </c>
      <c r="Q6" s="339"/>
      <c r="R6" s="281"/>
      <c r="S6" s="281"/>
      <c r="T6" s="281"/>
      <c r="U6" s="281"/>
      <c r="V6" s="281"/>
      <c r="W6" s="295"/>
      <c r="X6" s="0"/>
      <c r="Y6" s="0"/>
      <c r="Z6" s="0"/>
    </row>
    <row r="7" customFormat="false" ht="12.75" hidden="false" customHeight="false" outlineLevel="0" collapsed="false">
      <c r="A7" s="340" t="s">
        <v>3391</v>
      </c>
      <c r="B7" s="341" t="n">
        <v>81</v>
      </c>
      <c r="C7" s="342" t="n">
        <v>19</v>
      </c>
      <c r="D7" s="330"/>
      <c r="E7" s="330"/>
      <c r="F7" s="343" t="n">
        <f aca="false">B7+C7</f>
        <v>100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n">
        <f aca="false">IF(ISERROR(AVERAGE(J23:J82))," ",AVERAGE(J23:J82))</f>
        <v>10.1428571428571</v>
      </c>
      <c r="P8" s="356" t="n">
        <f aca="false">IF(ISERROR(AVERAGE(K23:K82)),"  ",AVERAGE(K23:K82))</f>
        <v>1.66666666666667</v>
      </c>
      <c r="Q8" s="357"/>
      <c r="R8" s="281"/>
      <c r="S8" s="281"/>
      <c r="T8" s="281"/>
      <c r="U8" s="281"/>
      <c r="V8" s="281"/>
      <c r="W8" s="295"/>
      <c r="X8" s="0"/>
      <c r="Y8" s="0"/>
      <c r="Z8" s="0"/>
    </row>
    <row r="9" customFormat="false" ht="12.75" hidden="false" customHeight="false" outlineLevel="0" collapsed="false">
      <c r="A9" s="314" t="s">
        <v>3397</v>
      </c>
      <c r="B9" s="358" t="n">
        <v>5.19999980926514</v>
      </c>
      <c r="C9" s="359" t="n">
        <v>47.2999992370606</v>
      </c>
      <c r="D9" s="360"/>
      <c r="E9" s="360"/>
      <c r="F9" s="361" t="n">
        <f aca="false">($B9*$B$7+$C9*$C$7)/100</f>
        <v>13.1989997005463</v>
      </c>
      <c r="G9" s="362"/>
      <c r="H9" s="317"/>
      <c r="I9" s="281"/>
      <c r="J9" s="363"/>
      <c r="K9" s="364"/>
      <c r="L9" s="347"/>
      <c r="M9" s="365"/>
      <c r="N9" s="355" t="s">
        <v>3398</v>
      </c>
      <c r="O9" s="356" t="n">
        <f aca="false">IF(ISERROR(STDEVP(J23:J82))," ",STDEVP(J23:J82))</f>
        <v>2.89968330431206</v>
      </c>
      <c r="P9" s="356" t="n">
        <f aca="false">IF(ISERROR(STDEVP(K23:K82)),"  ",STDEVP(K23:K82))</f>
        <v>0.471404520791032</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12</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2</v>
      </c>
      <c r="M13" s="381"/>
      <c r="N13" s="389" t="s">
        <v>3409</v>
      </c>
      <c r="O13" s="390" t="n">
        <f aca="false">COUNTIF(F23:F82,"&gt;0")</f>
        <v>26</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1</v>
      </c>
      <c r="M14" s="381"/>
      <c r="N14" s="392" t="s">
        <v>3412</v>
      </c>
      <c r="O14" s="393" t="n">
        <f aca="false">COUNTIF($J$23:$J$82,"&gt;-1")</f>
        <v>21</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10</v>
      </c>
      <c r="M15" s="381"/>
      <c r="N15" s="389" t="s">
        <v>3415</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14</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n">
        <f aca="false">IF(ISERROR((O13-(COUNTIF(J23:J82,"nc")))/O13),"-",(O13-(COUNTIF(J23:J82,"nc")))/O13)</f>
        <v>0.846153846153846</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5.41999998129904</v>
      </c>
      <c r="C20" s="433" t="n">
        <f aca="false">SUM(C23:C82)</f>
        <v>47.5900397207588</v>
      </c>
      <c r="D20" s="434"/>
      <c r="E20" s="435" t="s">
        <v>3422</v>
      </c>
      <c r="F20" s="436" t="n">
        <f aca="false">($B20*$B$7+$C20*$C$7)/100</f>
        <v>13.4323075317964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4.39019998485223</v>
      </c>
      <c r="C21" s="444" t="n">
        <f aca="false">C20*C7/100</f>
        <v>9.04210754694417</v>
      </c>
      <c r="D21" s="445" t="s">
        <v>3425</v>
      </c>
      <c r="E21" s="446"/>
      <c r="F21" s="447" t="n">
        <f aca="false">B21+C21</f>
        <v>13.4323075317964</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t="s">
        <v>395</v>
      </c>
      <c r="B23" s="472" t="n">
        <v>0.00999999977648258</v>
      </c>
      <c r="C23" s="473" t="n">
        <v>0.00999999977648258</v>
      </c>
      <c r="D23" s="474" t="str">
        <f aca="false">IF(ISERROR(VLOOKUP($A23,'liste reference'!$A$6:$B$1174,2,0)),IF(ISERROR(VLOOKUP($A23,'liste reference'!$B$6:$B$1174,1,0)),"",VLOOKUP($A23,'liste reference'!$B$6:$B$1174,1,0)),VLOOKUP($A23,'liste reference'!$A$6:$B$1174,2,0))</f>
        <v>Vaucheria sp.</v>
      </c>
      <c r="E23" s="475" t="e">
        <f aca="false">IF(D23="",0,VLOOKUP(D23,D$22:D22,1,0))</f>
        <v>#N/A</v>
      </c>
      <c r="F23" s="476" t="n">
        <f aca="false">IF(AND(OR(A23="",A23="!!!!!!"),B23="",C23=""),"",IF(OR(AND(B23="",C23=""),ISERROR(C23+B23)),"!!!",($B23*$B$7+$C23*$C$7)/100))</f>
        <v>0.00999999977648258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4</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81"/>
      <c r="N23" s="481"/>
      <c r="O23" s="481"/>
      <c r="P23" s="482" t="s">
        <v>3445</v>
      </c>
      <c r="Q23" s="483" t="n">
        <f aca="false">IF(OR($A23="NEWCOD",$A23="!!!!!!"),IF(X23="","NoCod",X23),IF($A23="","",IF(ISERROR(VLOOKUP($A23,'liste reference'!$A$6:$H$1174,8,0)),IF(ISERROR(VLOOKUP($A23,'liste reference'!$B$6:$H$1174,7,0)),"",VLOOKUP($A23,'liste reference'!$B$6:$H$1174,7,0)),VLOOKUP($A23,'liste reference'!$A$6:$H$1174,8,0))))</f>
        <v>1169</v>
      </c>
      <c r="R23" s="484" t="n">
        <f aca="false">IF(ISTEXT(H23),"",(B23*$B$7/100)+(C23*$C$7/100))</f>
        <v>0.00999999977648258</v>
      </c>
      <c r="S23" s="485" t="n">
        <f aca="false">IF(OR(ISTEXT(H23),R23=0),"",IF(R23&lt;0.1,1,IF(R23&lt;1,2,IF(R23&lt;10,3,IF(R23&lt;50,4,IF(R23&gt;=50,5,""))))))</f>
        <v>1</v>
      </c>
      <c r="T23" s="485" t="n">
        <f aca="false">IF(ISERROR(S23*J23),0,S23*J23)</f>
        <v>4</v>
      </c>
      <c r="U23" s="485" t="n">
        <f aca="false">IF(ISERROR(S23*J23*K23),0,S23*J23*K23)</f>
        <v>4</v>
      </c>
      <c r="V23" s="485" t="n">
        <f aca="false">IF(ISERROR(S23*K23),0,S23*K23)</f>
        <v>1</v>
      </c>
      <c r="W23" s="486"/>
      <c r="X23" s="487"/>
      <c r="Y23" s="488" t="str">
        <f aca="false">IF(AND(ISNUMBER(F23),OR(A23="",A23="!!!!!!")),"!!!!!!",IF(A23="new.cod","NEWCOD",IF(AND((Z23=""),ISTEXT(A23),A23&lt;&gt;"!!!!!!"),A23,IF(Z23="","",INDEX('liste reference'!$A$6:$A$1174,Z23)))))</f>
        <v>VAUSPX</v>
      </c>
      <c r="Z23" s="470" t="n">
        <f aca="false">IF(ISERROR(MATCH(A23,'liste reference'!$A$6:$A$1174,0)),IF(ISERROR(MATCH(A23,'liste reference'!$B$6:$B$1174,0)),"",(MATCH(A23,'liste reference'!$B$6:$B$1174,0))),(MATCH(A23,'liste reference'!$A$6:$A$1174,0)))</f>
        <v>118</v>
      </c>
    </row>
    <row r="24" customFormat="false" ht="12.75" hidden="false" customHeight="false" outlineLevel="0" collapsed="false">
      <c r="A24" s="489" t="s">
        <v>134</v>
      </c>
      <c r="B24" s="490" t="n">
        <v>3.15285992622376</v>
      </c>
      <c r="C24" s="491" t="n">
        <v>15.1528997421265</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5.43286749124527</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3445</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5.43286749124527</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300</v>
      </c>
      <c r="B25" s="490" t="n">
        <v>0.00999999977648258</v>
      </c>
      <c r="C25" s="491" t="n">
        <v>0.00999999977648258</v>
      </c>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0.00999999977648258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3445</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0.00999999977648258</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1657</v>
      </c>
      <c r="B26" s="490" t="n">
        <v>0</v>
      </c>
      <c r="C26" s="491" t="n">
        <v>0.00999999977648258</v>
      </c>
      <c r="D26" s="492" t="str">
        <f aca="false">IF(ISERROR(VLOOKUP($A26,'liste reference'!$A$6:$B$1174,2,0)),IF(ISERROR(VLOOKUP($A26,'liste reference'!$B$6:$B$1174,1,0)),"",VLOOKUP($A26,'liste reference'!$B$6:$B$1174,1,0)),VLOOKUP($A26,'liste reference'!$A$6:$B$1174,2,0))</f>
        <v>Potamogeton crispus</v>
      </c>
      <c r="E26" s="493" t="e">
        <f aca="false">IF(D26="",0,VLOOKUP(D26,D$22:D25,1,0))</f>
        <v>#N/A</v>
      </c>
      <c r="F26" s="494" t="n">
        <f aca="false">IF(AND(OR(A26="",A26="!!!!!!"),B26="",C26=""),"",IF(OR(AND(B26="",C26=""),ISERROR(C26+B26)),"!!!",($B26*$B$7+$C26*$C$7)/100))</f>
        <v>0.00189999995753169</v>
      </c>
      <c r="G26" s="495" t="str">
        <f aca="false">IF(A26="","",IF(ISERROR(VLOOKUP($A26,'liste reference'!$A$6:$Q$1174,9,0)),IF(ISERROR(VLOOKUP($A26,'liste reference'!$B$6:$Q$1174,8,0)),"    -",VLOOKUP($A26,'liste reference'!$B$6:$Q$1174,8,0)),VLOOKUP($A26,'liste reference'!$A$6:$Q$1174,9,0)))</f>
        <v>PHy</v>
      </c>
      <c r="H26" s="496" t="n">
        <f aca="false">IF(A26="","x",IF(ISERROR(VLOOKUP($A26,'liste reference'!$A$6:$Q$1174,10,0)),IF(ISERROR(VLOOKUP($A26,'liste reference'!$B$6:$Q$1174,9,0)),"x",VLOOKUP($A26,'liste reference'!$B$6:$Q$1174,9,0)),VLOOKUP($A26,'liste reference'!$A$6:$Q$1174,10,0)))</f>
        <v>7</v>
      </c>
      <c r="I26" s="281" t="n">
        <f aca="false">IF(A26="","",1)</f>
        <v>1</v>
      </c>
      <c r="J26" s="497" t="n">
        <f aca="false">IF(ISNUMBER($H26),IF(ISERROR(VLOOKUP($A26,'liste reference'!$A$6:$Q$1174,6,0)),IF(ISERROR(VLOOKUP($A26,'liste reference'!$B$6:$Q$1174,5,0)),"nu",VLOOKUP($A26,'liste reference'!$B$6:$Q$1174,5,0)),VLOOKUP($A26,'liste reference'!$A$6:$Q$1174,6,0)),"nu")</f>
        <v>7</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Potamogeton crispus</v>
      </c>
      <c r="M26" s="498"/>
      <c r="N26" s="498"/>
      <c r="O26" s="498"/>
      <c r="P26" s="499" t="s">
        <v>3445</v>
      </c>
      <c r="Q26" s="500" t="n">
        <f aca="false">IF(OR($A26="NEWCOD",$A26="!!!!!!"),IF(X26="","NoCod",X26),IF($A26="","",IF(ISERROR(VLOOKUP($A26,'liste reference'!$A$6:$H$1174,8,0)),IF(ISERROR(VLOOKUP($A26,'liste reference'!$B$6:$H$1174,7,0)),"",VLOOKUP($A26,'liste reference'!$B$6:$H$1174,7,0)),VLOOKUP($A26,'liste reference'!$A$6:$H$1174,8,0))))</f>
        <v>1645</v>
      </c>
      <c r="R26" s="484" t="n">
        <f aca="false">IF(ISTEXT(H26),"",(B26*$B$7/100)+(C26*$C$7/100))</f>
        <v>0.00189999995753169</v>
      </c>
      <c r="S26" s="485" t="n">
        <f aca="false">IF(OR(ISTEXT(H26),R26=0),"",IF(R26&lt;0.1,1,IF(R26&lt;1,2,IF(R26&lt;10,3,IF(R26&lt;50,4,IF(R26&gt;=50,5,""))))))</f>
        <v>1</v>
      </c>
      <c r="T26" s="485" t="n">
        <f aca="false">IF(ISERROR(S26*J26),0,S26*J26)</f>
        <v>7</v>
      </c>
      <c r="U26" s="485" t="n">
        <f aca="false">IF(ISERROR(S26*J26*K26),0,S26*J26*K26)</f>
        <v>14</v>
      </c>
      <c r="V26" s="501" t="n">
        <f aca="false">IF(ISERROR(S26*K26),0,S26*K26)</f>
        <v>2</v>
      </c>
      <c r="W26" s="502"/>
      <c r="X26" s="503"/>
      <c r="Y26" s="488" t="str">
        <f aca="false">IF(AND(ISNUMBER(F26),OR(A26="",A26="!!!!!!")),"!!!!!!",IF(A26="new.cod","NEWCOD",IF(AND((Z26=""),ISTEXT(A26),A26&lt;&gt;"!!!!!!"),A26,IF(Z26="","",INDEX('liste reference'!$A$6:$A$1174,Z26)))))</f>
        <v>POTCRI</v>
      </c>
      <c r="Z26" s="470" t="n">
        <f aca="false">IF(ISERROR(MATCH(A26,'liste reference'!$A$6:$A$1174,0)),IF(ISERROR(MATCH(A26,'liste reference'!$B$6:$B$1174,0)),"",(MATCH(A26,'liste reference'!$B$6:$B$1174,0))),(MATCH(A26,'liste reference'!$A$6:$A$1174,0)))</f>
        <v>522</v>
      </c>
    </row>
    <row r="27" customFormat="false" ht="12.75" hidden="false" customHeight="false" outlineLevel="0" collapsed="false">
      <c r="A27" s="489" t="s">
        <v>1459</v>
      </c>
      <c r="B27" s="490" t="n">
        <v>0.00999999977648258</v>
      </c>
      <c r="C27" s="491" t="n">
        <v>8</v>
      </c>
      <c r="D27" s="492" t="str">
        <f aca="false">IF(ISERROR(VLOOKUP($A27,'liste reference'!$A$6:$B$1174,2,0)),IF(ISERROR(VLOOKUP($A27,'liste reference'!$B$6:$B$1174,1,0)),"",VLOOKUP($A27,'liste reference'!$B$6:$B$1174,1,0)),VLOOKUP($A27,'liste reference'!$A$6:$B$1174,2,0))</f>
        <v>Elodea nuttallii</v>
      </c>
      <c r="E27" s="493" t="e">
        <f aca="false">IF(D27="",0,VLOOKUP(D27,D$22:D26,1,0))</f>
        <v>#N/A</v>
      </c>
      <c r="F27" s="494" t="n">
        <f aca="false">IF(AND(OR(A27="",A27="!!!!!!"),B27="",C27=""),"",IF(OR(AND(B27="",C27=""),ISERROR(C27+B27)),"!!!",($B27*$B$7+$C27*$C$7)/100))</f>
        <v>1.52809999981895</v>
      </c>
      <c r="G27" s="495" t="str">
        <f aca="false">IF(A27="","",IF(ISERROR(VLOOKUP($A27,'liste reference'!$A$6:$Q$1174,9,0)),IF(ISERROR(VLOOKUP($A27,'liste reference'!$B$6:$Q$1174,8,0)),"    -",VLOOKUP($A27,'liste reference'!$B$6:$Q$1174,8,0)),VLOOKUP($A27,'liste reference'!$A$6:$Q$1174,9,0)))</f>
        <v>PHy</v>
      </c>
      <c r="H27" s="496" t="n">
        <f aca="false">IF(A27="","x",IF(ISERROR(VLOOKUP($A27,'liste reference'!$A$6:$Q$1174,10,0)),IF(ISERROR(VLOOKUP($A27,'liste reference'!$B$6:$Q$1174,9,0)),"x",VLOOKUP($A27,'liste reference'!$B$6:$Q$1174,9,0)),VLOOKUP($A27,'liste reference'!$A$6:$Q$1174,10,0)))</f>
        <v>7</v>
      </c>
      <c r="I27" s="281" t="n">
        <f aca="false">IF(A27="","",1)</f>
        <v>1</v>
      </c>
      <c r="J27" s="497" t="n">
        <f aca="false">IF(ISNUMBER($H27),IF(ISERROR(VLOOKUP($A27,'liste reference'!$A$6:$Q$1174,6,0)),IF(ISERROR(VLOOKUP($A27,'liste reference'!$B$6:$Q$1174,5,0)),"nu",VLOOKUP($A27,'liste reference'!$B$6:$Q$1174,5,0)),VLOOKUP($A27,'liste reference'!$A$6:$Q$1174,6,0)),"nu")</f>
        <v>8</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Elodea nuttallii</v>
      </c>
      <c r="M27" s="498"/>
      <c r="N27" s="498"/>
      <c r="O27" s="498"/>
      <c r="P27" s="499" t="s">
        <v>3445</v>
      </c>
      <c r="Q27" s="500" t="n">
        <f aca="false">IF(OR($A27="NEWCOD",$A27="!!!!!!"),IF(X27="","NoCod",X27),IF($A27="","",IF(ISERROR(VLOOKUP($A27,'liste reference'!$A$6:$H$1174,8,0)),IF(ISERROR(VLOOKUP($A27,'liste reference'!$B$6:$H$1174,7,0)),"",VLOOKUP($A27,'liste reference'!$B$6:$H$1174,7,0)),VLOOKUP($A27,'liste reference'!$A$6:$H$1174,8,0))))</f>
        <v>1588</v>
      </c>
      <c r="R27" s="484" t="n">
        <f aca="false">IF(ISTEXT(H27),"",(B27*$B$7/100)+(C27*$C$7/100))</f>
        <v>1.52809999981895</v>
      </c>
      <c r="S27" s="485" t="n">
        <f aca="false">IF(OR(ISTEXT(H27),R27=0),"",IF(R27&lt;0.1,1,IF(R27&lt;1,2,IF(R27&lt;10,3,IF(R27&lt;50,4,IF(R27&gt;=50,5,""))))))</f>
        <v>3</v>
      </c>
      <c r="T27" s="485" t="n">
        <f aca="false">IF(ISERROR(S27*J27),0,S27*J27)</f>
        <v>24</v>
      </c>
      <c r="U27" s="485" t="n">
        <f aca="false">IF(ISERROR(S27*J27*K27),0,S27*J27*K27)</f>
        <v>48</v>
      </c>
      <c r="V27" s="501" t="n">
        <f aca="false">IF(ISERROR(S27*K27),0,S27*K27)</f>
        <v>6</v>
      </c>
      <c r="W27" s="502"/>
      <c r="X27" s="503"/>
      <c r="Y27" s="488" t="str">
        <f aca="false">IF(AND(ISNUMBER(F27),OR(A27="",A27="!!!!!!")),"!!!!!!",IF(A27="new.cod","NEWCOD",IF(AND((Z27=""),ISTEXT(A27),A27&lt;&gt;"!!!!!!"),A27,IF(Z27="","",INDEX('liste reference'!$A$6:$A$1174,Z27)))))</f>
        <v>ELONUT</v>
      </c>
      <c r="Z27" s="470" t="n">
        <f aca="false">IF(ISERROR(MATCH(A27,'liste reference'!$A$6:$A$1174,0)),IF(ISERROR(MATCH(A27,'liste reference'!$B$6:$B$1174,0)),"",(MATCH(A27,'liste reference'!$B$6:$B$1174,0))),(MATCH(A27,'liste reference'!$A$6:$A$1174,0)))</f>
        <v>454</v>
      </c>
    </row>
    <row r="28" customFormat="false" ht="12.75" hidden="false" customHeight="false" outlineLevel="0" collapsed="false">
      <c r="A28" s="489" t="s">
        <v>1557</v>
      </c>
      <c r="B28" s="490" t="n">
        <v>0</v>
      </c>
      <c r="C28" s="491" t="n">
        <v>0.100000001490116</v>
      </c>
      <c r="D28" s="492" t="str">
        <f aca="false">IF(ISERROR(VLOOKUP($A28,'liste reference'!$A$6:$B$1174,2,0)),IF(ISERROR(VLOOKUP($A28,'liste reference'!$B$6:$B$1174,1,0)),"",VLOOKUP($A28,'liste reference'!$B$6:$B$1174,1,0)),VLOOKUP($A28,'liste reference'!$A$6:$B$1174,2,0))</f>
        <v>Myriophyllum spicatum</v>
      </c>
      <c r="E28" s="493" t="e">
        <f aca="false">IF(D28="",0,VLOOKUP(D28,D$22:D27,1,0))</f>
        <v>#N/A</v>
      </c>
      <c r="F28" s="494" t="n">
        <f aca="false">IF(AND(OR(A28="",A28="!!!!!!"),B28="",C28=""),"",IF(OR(AND(B28="",C28=""),ISERROR(C28+B28)),"!!!",($B28*$B$7+$C28*$C$7)/100))</f>
        <v>0.0190000002831221</v>
      </c>
      <c r="G28" s="495" t="str">
        <f aca="false">IF(A28="","",IF(ISERROR(VLOOKUP($A28,'liste reference'!$A$6:$Q$1174,9,0)),IF(ISERROR(VLOOKUP($A28,'liste reference'!$B$6:$Q$1174,8,0)),"    -",VLOOKUP($A28,'liste reference'!$B$6:$Q$1174,8,0)),VLOOKUP($A28,'liste reference'!$A$6:$Q$1174,9,0)))</f>
        <v>PHy</v>
      </c>
      <c r="H28" s="496" t="n">
        <f aca="false">IF(A28="","x",IF(ISERROR(VLOOKUP($A28,'liste reference'!$A$6:$Q$1174,10,0)),IF(ISERROR(VLOOKUP($A28,'liste reference'!$B$6:$Q$1174,9,0)),"x",VLOOKUP($A28,'liste reference'!$B$6:$Q$1174,9,0)),VLOOKUP($A28,'liste reference'!$A$6:$Q$1174,10,0)))</f>
        <v>7</v>
      </c>
      <c r="I28" s="281" t="n">
        <f aca="false">IF(A28="","",1)</f>
        <v>1</v>
      </c>
      <c r="J28" s="497" t="n">
        <f aca="false">IF(ISNUMBER($H28),IF(ISERROR(VLOOKUP($A28,'liste reference'!$A$6:$Q$1174,6,0)),IF(ISERROR(VLOOKUP($A28,'liste reference'!$B$6:$Q$1174,5,0)),"nu",VLOOKUP($A28,'liste reference'!$B$6:$Q$1174,5,0)),VLOOKUP($A28,'liste reference'!$A$6:$Q$1174,6,0)),"nu")</f>
        <v>8</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Myriophyllum spicatum</v>
      </c>
      <c r="M28" s="498"/>
      <c r="N28" s="498"/>
      <c r="O28" s="498"/>
      <c r="P28" s="499" t="s">
        <v>3445</v>
      </c>
      <c r="Q28" s="500" t="n">
        <f aca="false">IF(OR($A28="NEWCOD",$A28="!!!!!!"),IF(X28="","NoCod",X28),IF($A28="","",IF(ISERROR(VLOOKUP($A28,'liste reference'!$A$6:$H$1174,8,0)),IF(ISERROR(VLOOKUP($A28,'liste reference'!$B$6:$H$1174,7,0)),"",VLOOKUP($A28,'liste reference'!$B$6:$H$1174,7,0)),VLOOKUP($A28,'liste reference'!$A$6:$H$1174,8,0))))</f>
        <v>1778</v>
      </c>
      <c r="R28" s="484" t="n">
        <f aca="false">IF(ISTEXT(H28),"",(B28*$B$7/100)+(C28*$C$7/100))</f>
        <v>0.0190000002831221</v>
      </c>
      <c r="S28" s="485" t="n">
        <f aca="false">IF(OR(ISTEXT(H28),R28=0),"",IF(R28&lt;0.1,1,IF(R28&lt;1,2,IF(R28&lt;10,3,IF(R28&lt;50,4,IF(R28&gt;=50,5,""))))))</f>
        <v>1</v>
      </c>
      <c r="T28" s="485" t="n">
        <f aca="false">IF(ISERROR(S28*J28),0,S28*J28)</f>
        <v>8</v>
      </c>
      <c r="U28" s="485" t="n">
        <f aca="false">IF(ISERROR(S28*J28*K28),0,S28*J28*K28)</f>
        <v>16</v>
      </c>
      <c r="V28" s="501" t="n">
        <f aca="false">IF(ISERROR(S28*K28),0,S28*K28)</f>
        <v>2</v>
      </c>
      <c r="W28" s="502"/>
      <c r="X28" s="503"/>
      <c r="Y28" s="488" t="str">
        <f aca="false">IF(AND(ISNUMBER(F28),OR(A28="",A28="!!!!!!")),"!!!!!!",IF(A28="new.cod","NEWCOD",IF(AND((Z28=""),ISTEXT(A28),A28&lt;&gt;"!!!!!!"),A28,IF(Z28="","",INDEX('liste reference'!$A$6:$A$1174,Z28)))))</f>
        <v>MYRSPI</v>
      </c>
      <c r="Z28" s="470" t="n">
        <f aca="false">IF(ISERROR(MATCH(A28,'liste reference'!$A$6:$A$1174,0)),IF(ISERROR(MATCH(A28,'liste reference'!$B$6:$B$1174,0)),"",(MATCH(A28,'liste reference'!$B$6:$B$1174,0))),(MATCH(A28,'liste reference'!$A$6:$A$1174,0)))</f>
        <v>486</v>
      </c>
    </row>
    <row r="29" customFormat="false" ht="12.75" hidden="false" customHeight="false" outlineLevel="0" collapsed="false">
      <c r="A29" s="489" t="s">
        <v>1644</v>
      </c>
      <c r="B29" s="490" t="n">
        <v>0</v>
      </c>
      <c r="C29" s="491" t="n">
        <v>0.00999999977648258</v>
      </c>
      <c r="D29" s="492" t="str">
        <f aca="false">IF(ISERROR(VLOOKUP($A29,'liste reference'!$A$6:$B$1174,2,0)),IF(ISERROR(VLOOKUP($A29,'liste reference'!$B$6:$B$1174,1,0)),"",VLOOKUP($A29,'liste reference'!$B$6:$B$1174,1,0)),VLOOKUP($A29,'liste reference'!$A$6:$B$1174,2,0))</f>
        <v>Potamogeton berchtoldii</v>
      </c>
      <c r="E29" s="493" t="e">
        <f aca="false">IF(D29="",0,VLOOKUP(D29,D$22:D28,1,0))</f>
        <v>#N/A</v>
      </c>
      <c r="F29" s="494" t="n">
        <f aca="false">IF(AND(OR(A29="",A29="!!!!!!"),B29="",C29=""),"",IF(OR(AND(B29="",C29=""),ISERROR(C29+B29)),"!!!",($B29*$B$7+$C29*$C$7)/100))</f>
        <v>0.00189999995753169</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9</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Potamogeton berchtoldii</v>
      </c>
      <c r="M29" s="498"/>
      <c r="N29" s="498"/>
      <c r="O29" s="498"/>
      <c r="P29" s="499" t="s">
        <v>3445</v>
      </c>
      <c r="Q29" s="500" t="n">
        <f aca="false">IF(OR($A29="NEWCOD",$A29="!!!!!!"),IF(X29="","NoCod",X29),IF($A29="","",IF(ISERROR(VLOOKUP($A29,'liste reference'!$A$6:$H$1174,8,0)),IF(ISERROR(VLOOKUP($A29,'liste reference'!$B$6:$H$1174,7,0)),"",VLOOKUP($A29,'liste reference'!$B$6:$H$1174,7,0)),VLOOKUP($A29,'liste reference'!$A$6:$H$1174,8,0))))</f>
        <v>1642</v>
      </c>
      <c r="R29" s="484" t="n">
        <f aca="false">IF(ISTEXT(H29),"",(B29*$B$7/100)+(C29*$C$7/100))</f>
        <v>0.00189999995753169</v>
      </c>
      <c r="S29" s="485" t="n">
        <f aca="false">IF(OR(ISTEXT(H29),R29=0),"",IF(R29&lt;0.1,1,IF(R29&lt;1,2,IF(R29&lt;10,3,IF(R29&lt;50,4,IF(R29&gt;=50,5,""))))))</f>
        <v>1</v>
      </c>
      <c r="T29" s="485" t="n">
        <f aca="false">IF(ISERROR(S29*J29),0,S29*J29)</f>
        <v>9</v>
      </c>
      <c r="U29" s="485" t="n">
        <f aca="false">IF(ISERROR(S29*J29*K29),0,S29*J29*K29)</f>
        <v>18</v>
      </c>
      <c r="V29" s="501" t="n">
        <f aca="false">IF(ISERROR(S29*K29),0,S29*K29)</f>
        <v>2</v>
      </c>
      <c r="W29" s="502"/>
      <c r="X29" s="503"/>
      <c r="Y29" s="488" t="str">
        <f aca="false">IF(AND(ISNUMBER(F29),OR(A29="",A29="!!!!!!")),"!!!!!!",IF(A29="new.cod","NEWCOD",IF(AND((Z29=""),ISTEXT(A29),A29&lt;&gt;"!!!!!!"),A29,IF(Z29="","",INDEX('liste reference'!$A$6:$A$1174,Z29)))))</f>
        <v>POTBER</v>
      </c>
      <c r="Z29" s="470" t="n">
        <f aca="false">IF(ISERROR(MATCH(A29,'liste reference'!$A$6:$A$1174,0)),IF(ISERROR(MATCH(A29,'liste reference'!$B$6:$B$1174,0)),"",(MATCH(A29,'liste reference'!$B$6:$B$1174,0))),(MATCH(A29,'liste reference'!$A$6:$A$1174,0)))</f>
        <v>518</v>
      </c>
    </row>
    <row r="30" customFormat="false" ht="12.75" hidden="false" customHeight="false" outlineLevel="0" collapsed="false">
      <c r="A30" s="489" t="s">
        <v>1408</v>
      </c>
      <c r="B30" s="490" t="n">
        <v>0</v>
      </c>
      <c r="C30" s="491" t="n">
        <v>0.00999999977648258</v>
      </c>
      <c r="D30" s="492" t="str">
        <f aca="false">IF(ISERROR(VLOOKUP($A30,'liste reference'!$A$6:$B$1174,2,0)),IF(ISERROR(VLOOKUP($A30,'liste reference'!$B$6:$B$1174,1,0)),"",VLOOKUP($A30,'liste reference'!$B$6:$B$1174,1,0)),VLOOKUP($A30,'liste reference'!$A$6:$B$1174,2,0))</f>
        <v>Callitriche platycarpa</v>
      </c>
      <c r="E30" s="493" t="e">
        <f aca="false">IF(D30="",0,VLOOKUP(D30,D$22:D29,1,0))</f>
        <v>#N/A</v>
      </c>
      <c r="F30" s="494" t="n">
        <f aca="false">IF(AND(OR(A30="",A30="!!!!!!"),B30="",C30=""),"",IF(OR(AND(B30="",C30=""),ISERROR(C30+B30)),"!!!",($B30*$B$7+$C30*$C$7)/100))</f>
        <v>0.00189999995753169</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Callitriche platycarpa</v>
      </c>
      <c r="M30" s="498"/>
      <c r="N30" s="498"/>
      <c r="O30" s="498"/>
      <c r="P30" s="499" t="s">
        <v>3460</v>
      </c>
      <c r="Q30" s="500" t="n">
        <f aca="false">IF(OR($A30="NEWCOD",$A30="!!!!!!"),IF(X30="","NoCod",X30),IF($A30="","",IF(ISERROR(VLOOKUP($A30,'liste reference'!$A$6:$H$1174,8,0)),IF(ISERROR(VLOOKUP($A30,'liste reference'!$B$6:$H$1174,7,0)),"",VLOOKUP($A30,'liste reference'!$B$6:$H$1174,7,0)),VLOOKUP($A30,'liste reference'!$A$6:$H$1174,8,0))))</f>
        <v>1702</v>
      </c>
      <c r="R30" s="484" t="n">
        <f aca="false">IF(ISTEXT(H30),"",(B30*$B$7/100)+(C30*$C$7/100))</f>
        <v>0.00189999995753169</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CALPLA</v>
      </c>
      <c r="Z30" s="470" t="n">
        <f aca="false">IF(ISERROR(MATCH(A30,'liste reference'!$A$6:$A$1174,0)),IF(ISERROR(MATCH(A30,'liste reference'!$B$6:$B$1174,0)),"",(MATCH(A30,'liste reference'!$B$6:$B$1174,0))),(MATCH(A30,'liste reference'!$A$6:$A$1174,0)))</f>
        <v>438</v>
      </c>
    </row>
    <row r="31" customFormat="false" ht="12.75" hidden="false" customHeight="false" outlineLevel="0" collapsed="false">
      <c r="A31" s="489" t="s">
        <v>1522</v>
      </c>
      <c r="B31" s="490" t="n">
        <v>0</v>
      </c>
      <c r="C31" s="491" t="n">
        <v>0.100000001490116</v>
      </c>
      <c r="D31" s="492" t="str">
        <f aca="false">IF(ISERROR(VLOOKUP($A31,'liste reference'!$A$6:$B$1174,2,0)),IF(ISERROR(VLOOKUP($A31,'liste reference'!$B$6:$B$1174,1,0)),"",VLOOKUP($A31,'liste reference'!$B$6:$B$1174,1,0)),VLOOKUP($A31,'liste reference'!$A$6:$B$1174,2,0))</f>
        <v>Lemna minor</v>
      </c>
      <c r="E31" s="493" t="e">
        <f aca="false">IF(D31="",0,VLOOKUP(D31,D$22:D30,1,0))</f>
        <v>#N/A</v>
      </c>
      <c r="F31" s="494" t="n">
        <f aca="false">IF(AND(OR(A31="",A31="!!!!!!"),B31="",C31=""),"",IF(OR(AND(B31="",C31=""),ISERROR(C31+B31)),"!!!",($B31*$B$7+$C31*$C$7)/100))</f>
        <v>0.0190000002831221</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minor</v>
      </c>
      <c r="M31" s="498"/>
      <c r="N31" s="498"/>
      <c r="O31" s="498"/>
      <c r="P31" s="499" t="s">
        <v>3445</v>
      </c>
      <c r="Q31" s="500" t="n">
        <f aca="false">IF(OR($A31="NEWCOD",$A31="!!!!!!"),IF(X31="","NoCod",X31),IF($A31="","",IF(ISERROR(VLOOKUP($A31,'liste reference'!$A$6:$H$1174,8,0)),IF(ISERROR(VLOOKUP($A31,'liste reference'!$B$6:$H$1174,7,0)),"",VLOOKUP($A31,'liste reference'!$B$6:$H$1174,7,0)),VLOOKUP($A31,'liste reference'!$A$6:$H$1174,8,0))))</f>
        <v>1626</v>
      </c>
      <c r="R31" s="484" t="n">
        <f aca="false">IF(ISTEXT(H31),"",(B31*$B$7/100)+(C31*$C$7/100))</f>
        <v>0.0190000002831221</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LEMMIN</v>
      </c>
      <c r="Z31" s="470" t="n">
        <f aca="false">IF(ISERROR(MATCH(A31,'liste reference'!$A$6:$A$1174,0)),IF(ISERROR(MATCH(A31,'liste reference'!$B$6:$B$1174,0)),"",(MATCH(A31,'liste reference'!$B$6:$B$1174,0))),(MATCH(A31,'liste reference'!$A$6:$A$1174,0)))</f>
        <v>473</v>
      </c>
    </row>
    <row r="32" customFormat="false" ht="12.75" hidden="false" customHeight="false" outlineLevel="0" collapsed="false">
      <c r="A32" s="489" t="s">
        <v>228</v>
      </c>
      <c r="B32" s="490" t="n">
        <v>0.0299999993294477</v>
      </c>
      <c r="C32" s="491" t="n">
        <v>0.315714001655579</v>
      </c>
      <c r="D32" s="492" t="str">
        <f aca="false">IF(ISERROR(VLOOKUP($A32,'liste reference'!$A$6:$B$1174,2,0)),IF(ISERROR(VLOOKUP($A32,'liste reference'!$B$6:$B$1174,1,0)),"",VLOOKUP($A32,'liste reference'!$B$6:$B$1174,1,0)),VLOOKUP($A32,'liste reference'!$A$6:$B$1174,2,0))</f>
        <v>Melosira sp.</v>
      </c>
      <c r="E32" s="493" t="e">
        <f aca="false">IF(D32="",0,VLOOKUP(D32,D$22:D31,1,0))</f>
        <v>#N/A</v>
      </c>
      <c r="F32" s="494" t="n">
        <f aca="false">IF(AND(OR(A32="",A32="!!!!!!"),B32="",C32=""),"",IF(OR(AND(B32="",C32=""),ISERROR(C32+B32)),"!!!",($B32*$B$7+$C32*$C$7)/100))</f>
        <v>0.0842856597714126</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Melosira sp.</v>
      </c>
      <c r="M32" s="498"/>
      <c r="N32" s="498"/>
      <c r="O32" s="498"/>
      <c r="P32" s="499" t="s">
        <v>3445</v>
      </c>
      <c r="Q32" s="500" t="n">
        <f aca="false">IF(OR($A32="NEWCOD",$A32="!!!!!!"),IF(X32="","NoCod",X32),IF($A32="","",IF(ISERROR(VLOOKUP($A32,'liste reference'!$A$6:$H$1174,8,0)),IF(ISERROR(VLOOKUP($A32,'liste reference'!$B$6:$H$1174,7,0)),"",VLOOKUP($A32,'liste reference'!$B$6:$H$1174,7,0)),VLOOKUP($A32,'liste reference'!$A$6:$H$1174,8,0))))</f>
        <v>8714</v>
      </c>
      <c r="R32" s="484" t="n">
        <f aca="false">IF(ISTEXT(H32),"",(B32*$B$7/100)+(C32*$C$7/100))</f>
        <v>0.0842856597714126</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MELSPX</v>
      </c>
      <c r="Z32" s="470" t="n">
        <f aca="false">IF(ISERROR(MATCH(A32,'liste reference'!$A$6:$A$1174,0)),IF(ISERROR(MATCH(A32,'liste reference'!$B$6:$B$1174,0)),"",(MATCH(A32,'liste reference'!$B$6:$B$1174,0))),(MATCH(A32,'liste reference'!$A$6:$A$1174,0)))</f>
        <v>62</v>
      </c>
    </row>
    <row r="33" customFormat="false" ht="12.75" hidden="false" customHeight="false" outlineLevel="0" collapsed="false">
      <c r="A33" s="489" t="s">
        <v>2170</v>
      </c>
      <c r="B33" s="490" t="n">
        <v>0</v>
      </c>
      <c r="C33" s="491" t="n">
        <v>0.100000001490116</v>
      </c>
      <c r="D33" s="492" t="str">
        <f aca="false">IF(ISERROR(VLOOKUP($A33,'liste reference'!$A$6:$B$1174,2,0)),IF(ISERROR(VLOOKUP($A33,'liste reference'!$B$6:$B$1174,1,0)),"",VLOOKUP($A33,'liste reference'!$B$6:$B$1174,1,0)),VLOOKUP($A33,'liste reference'!$A$6:$B$1174,2,0))</f>
        <v>Phalaris arundinacea</v>
      </c>
      <c r="E33" s="493" t="e">
        <f aca="false">IF(D33="",0,VLOOKUP(D33,D$22:D32,1,0))</f>
        <v>#N/A</v>
      </c>
      <c r="F33" s="494" t="n">
        <f aca="false">IF(AND(OR(A33="",A33="!!!!!!"),B33="",C33=""),"",IF(OR(AND(B33="",C33=""),ISERROR(C33+B33)),"!!!",($B33*$B$7+$C33*$C$7)/100))</f>
        <v>0.0190000002831221</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Phalaris arundinacea</v>
      </c>
      <c r="M33" s="498"/>
      <c r="N33" s="498"/>
      <c r="O33" s="498"/>
      <c r="P33" s="499" t="s">
        <v>3445</v>
      </c>
      <c r="Q33" s="500" t="n">
        <f aca="false">IF(OR($A33="NEWCOD",$A33="!!!!!!"),IF(X33="","NoCod",X33),IF($A33="","",IF(ISERROR(VLOOKUP($A33,'liste reference'!$A$6:$H$1174,8,0)),IF(ISERROR(VLOOKUP($A33,'liste reference'!$B$6:$H$1174,7,0)),"",VLOOKUP($A33,'liste reference'!$B$6:$H$1174,7,0)),VLOOKUP($A33,'liste reference'!$A$6:$H$1174,8,0))))</f>
        <v>1577</v>
      </c>
      <c r="R33" s="484" t="n">
        <f aca="false">IF(ISTEXT(H33),"",(B33*$B$7/100)+(C33*$C$7/100))</f>
        <v>0.0190000002831221</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PHAARU</v>
      </c>
      <c r="Z33" s="470" t="n">
        <f aca="false">IF(ISERROR(MATCH(A33,'liste reference'!$A$6:$A$1174,0)),IF(ISERROR(MATCH(A33,'liste reference'!$B$6:$B$1174,0)),"",(MATCH(A33,'liste reference'!$B$6:$B$1174,0))),(MATCH(A33,'liste reference'!$A$6:$A$1174,0)))</f>
        <v>707</v>
      </c>
    </row>
    <row r="34" customFormat="false" ht="12.75" hidden="false" customHeight="false" outlineLevel="0" collapsed="false">
      <c r="A34" s="489" t="s">
        <v>1784</v>
      </c>
      <c r="B34" s="490" t="n">
        <v>0</v>
      </c>
      <c r="C34" s="491" t="n">
        <v>0.00999999977648258</v>
      </c>
      <c r="D34" s="492" t="str">
        <f aca="false">IF(ISERROR(VLOOKUP($A34,'liste reference'!$A$6:$B$1174,2,0)),IF(ISERROR(VLOOKUP($A34,'liste reference'!$B$6:$B$1174,1,0)),"",VLOOKUP($A34,'liste reference'!$B$6:$B$1174,1,0)),VLOOKUP($A34,'liste reference'!$A$6:$B$1174,2,0))</f>
        <v>Ranunculus fluitans</v>
      </c>
      <c r="E34" s="493" t="e">
        <f aca="false">IF(D34="",0,VLOOKUP(D34,D$22:D33,1,0))</f>
        <v>#N/A</v>
      </c>
      <c r="F34" s="494" t="n">
        <f aca="false">IF(AND(OR(A34="",A34="!!!!!!"),B34="",C34=""),"",IF(OR(AND(B34="",C34=""),ISERROR(C34+B34)),"!!!",($B34*$B$7+$C34*$C$7)/100))</f>
        <v>0.00189999995753169</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Ranunculus fluitans</v>
      </c>
      <c r="M34" s="498"/>
      <c r="N34" s="498"/>
      <c r="O34" s="498"/>
      <c r="P34" s="499" t="s">
        <v>3460</v>
      </c>
      <c r="Q34" s="500" t="n">
        <f aca="false">IF(OR($A34="NEWCOD",$A34="!!!!!!"),IF(X34="","NoCod",X34),IF($A34="","",IF(ISERROR(VLOOKUP($A34,'liste reference'!$A$6:$H$1174,8,0)),IF(ISERROR(VLOOKUP($A34,'liste reference'!$B$6:$H$1174,7,0)),"",VLOOKUP($A34,'liste reference'!$B$6:$H$1174,7,0)),VLOOKUP($A34,'liste reference'!$A$6:$H$1174,8,0))))</f>
        <v>1903</v>
      </c>
      <c r="R34" s="484" t="n">
        <f aca="false">IF(ISTEXT(H34),"",(B34*$B$7/100)+(C34*$C$7/100))</f>
        <v>0.00189999995753169</v>
      </c>
      <c r="S34" s="485" t="n">
        <f aca="false">IF(OR(ISTEXT(H34),R34=0),"",IF(R34&lt;0.1,1,IF(R34&lt;1,2,IF(R34&lt;10,3,IF(R34&lt;50,4,IF(R34&gt;=50,5,""))))))</f>
        <v>1</v>
      </c>
      <c r="T34" s="485" t="n">
        <f aca="false">IF(ISERROR(S34*J34),0,S34*J34)</f>
        <v>10</v>
      </c>
      <c r="U34" s="485" t="n">
        <f aca="false">IF(ISERROR(S34*J34*K34),0,S34*J34*K34)</f>
        <v>20</v>
      </c>
      <c r="V34" s="501" t="n">
        <f aca="false">IF(ISERROR(S34*K34),0,S34*K34)</f>
        <v>2</v>
      </c>
      <c r="W34" s="502"/>
      <c r="X34" s="503"/>
      <c r="Y34" s="488" t="str">
        <f aca="false">IF(AND(ISNUMBER(F34),OR(A34="",A34="!!!!!!")),"!!!!!!",IF(A34="new.cod","NEWCOD",IF(AND((Z34=""),ISTEXT(A34),A34&lt;&gt;"!!!!!!"),A34,IF(Z34="","",INDEX('liste reference'!$A$6:$A$1174,Z34)))))</f>
        <v>RANFLU</v>
      </c>
      <c r="Z34" s="470" t="n">
        <f aca="false">IF(ISERROR(MATCH(A34,'liste reference'!$A$6:$A$1174,0)),IF(ISERROR(MATCH(A34,'liste reference'!$B$6:$B$1174,0)),"",(MATCH(A34,'liste reference'!$B$6:$B$1174,0))),(MATCH(A34,'liste reference'!$A$6:$A$1174,0)))</f>
        <v>566</v>
      </c>
    </row>
    <row r="35" customFormat="false" ht="12.75" hidden="false" customHeight="false" outlineLevel="0" collapsed="false">
      <c r="A35" s="489" t="s">
        <v>343</v>
      </c>
      <c r="B35" s="490" t="n">
        <v>0.0399999991059303</v>
      </c>
      <c r="C35" s="491" t="n">
        <v>12.539999961853</v>
      </c>
      <c r="D35" s="492" t="str">
        <f aca="false">IF(ISERROR(VLOOKUP($A35,'liste reference'!$A$6:$B$1174,2,0)),IF(ISERROR(VLOOKUP($A35,'liste reference'!$B$6:$B$1174,1,0)),"",VLOOKUP($A35,'liste reference'!$B$6:$B$1174,1,0)),VLOOKUP($A35,'liste reference'!$A$6:$B$1174,2,0))</f>
        <v>Spirogyra sp.</v>
      </c>
      <c r="E35" s="493" t="e">
        <f aca="false">IF(D35="",0,VLOOKUP(D35,D$22:D34,1,0))</f>
        <v>#N/A</v>
      </c>
      <c r="F35" s="494" t="n">
        <f aca="false">IF(AND(OR(A35="",A35="!!!!!!"),B35="",C35=""),"",IF(OR(AND(B35="",C35=""),ISERROR(C35+B35)),"!!!",($B35*$B$7+$C35*$C$7)/100))</f>
        <v>2.41499999202788</v>
      </c>
      <c r="G35" s="495" t="str">
        <f aca="false">IF(A35="","",IF(ISERROR(VLOOKUP($A35,'liste reference'!$A$6:$Q$1174,9,0)),IF(ISERROR(VLOOKUP($A35,'liste reference'!$B$6:$Q$1174,8,0)),"    -",VLOOKUP($A35,'liste reference'!$B$6:$Q$1174,8,0)),VLOOKUP($A35,'liste reference'!$A$6:$Q$1174,9,0)))</f>
        <v>ALG</v>
      </c>
      <c r="H35" s="496" t="n">
        <f aca="false">IF(A35="","x",IF(ISERROR(VLOOKUP($A35,'liste reference'!$A$6:$Q$1174,10,0)),IF(ISERROR(VLOOKUP($A35,'liste reference'!$B$6:$Q$1174,9,0)),"x",VLOOKUP($A35,'liste reference'!$B$6:$Q$1174,9,0)),VLOOKUP($A35,'liste reference'!$A$6:$Q$1174,10,0)))</f>
        <v>2</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Spirogyra sp.</v>
      </c>
      <c r="M35" s="498"/>
      <c r="N35" s="498"/>
      <c r="O35" s="498"/>
      <c r="P35" s="499" t="s">
        <v>3445</v>
      </c>
      <c r="Q35" s="500" t="n">
        <f aca="false">IF(OR($A35="NEWCOD",$A35="!!!!!!"),IF(X35="","NoCod",X35),IF($A35="","",IF(ISERROR(VLOOKUP($A35,'liste reference'!$A$6:$H$1174,8,0)),IF(ISERROR(VLOOKUP($A35,'liste reference'!$B$6:$H$1174,7,0)),"",VLOOKUP($A35,'liste reference'!$B$6:$H$1174,7,0)),VLOOKUP($A35,'liste reference'!$A$6:$H$1174,8,0))))</f>
        <v>1147</v>
      </c>
      <c r="R35" s="484" t="n">
        <f aca="false">IF(ISTEXT(H35),"",(B35*$B$7/100)+(C35*$C$7/100))</f>
        <v>2.41499999202788</v>
      </c>
      <c r="S35" s="485" t="n">
        <f aca="false">IF(OR(ISTEXT(H35),R35=0),"",IF(R35&lt;0.1,1,IF(R35&lt;1,2,IF(R35&lt;10,3,IF(R35&lt;50,4,IF(R35&gt;=50,5,""))))))</f>
        <v>3</v>
      </c>
      <c r="T35" s="485" t="n">
        <f aca="false">IF(ISERROR(S35*J35),0,S35*J35)</f>
        <v>30</v>
      </c>
      <c r="U35" s="485" t="n">
        <f aca="false">IF(ISERROR(S35*J35*K35),0,S35*J35*K35)</f>
        <v>30</v>
      </c>
      <c r="V35" s="501" t="n">
        <f aca="false">IF(ISERROR(S35*K35),0,S35*K35)</f>
        <v>3</v>
      </c>
      <c r="W35" s="502"/>
      <c r="X35" s="503"/>
      <c r="Y35" s="488" t="str">
        <f aca="false">IF(AND(ISNUMBER(F35),OR(A35="",A35="!!!!!!")),"!!!!!!",IF(A35="new.cod","NEWCOD",IF(AND((Z35=""),ISTEXT(A35),A35&lt;&gt;"!!!!!!"),A35,IF(Z35="","",INDEX('liste reference'!$A$6:$A$1174,Z35)))))</f>
        <v>SPISPX</v>
      </c>
      <c r="Z35" s="470" t="n">
        <f aca="false">IF(ISERROR(MATCH(A35,'liste reference'!$A$6:$A$1174,0)),IF(ISERROR(MATCH(A35,'liste reference'!$B$6:$B$1174,0)),"",(MATCH(A35,'liste reference'!$B$6:$B$1174,0))),(MATCH(A35,'liste reference'!$A$6:$A$1174,0)))</f>
        <v>102</v>
      </c>
    </row>
    <row r="36" customFormat="false" ht="12.75" hidden="false" customHeight="false" outlineLevel="0" collapsed="false">
      <c r="A36" s="489" t="s">
        <v>909</v>
      </c>
      <c r="B36" s="490" t="n">
        <v>0</v>
      </c>
      <c r="C36" s="491" t="n">
        <v>0.00999999977648258</v>
      </c>
      <c r="D36" s="492" t="str">
        <f aca="false">IF(ISERROR(VLOOKUP($A36,'liste reference'!$A$6:$B$1174,2,0)),IF(ISERROR(VLOOKUP($A36,'liste reference'!$B$6:$B$1174,1,0)),"",VLOOKUP($A36,'liste reference'!$B$6:$B$1174,1,0)),VLOOKUP($A36,'liste reference'!$A$6:$B$1174,2,0))</f>
        <v>Hygroamblystegium fluviatile </v>
      </c>
      <c r="E36" s="493" t="e">
        <f aca="false">IF(D36="",0,VLOOKUP(D36,D$22:D35,1,0))</f>
        <v>#N/A</v>
      </c>
      <c r="F36" s="494" t="n">
        <f aca="false">IF(AND(OR(A36="",A36="!!!!!!"),B36="",C36=""),"",IF(OR(AND(B36="",C36=""),ISERROR(C36+B36)),"!!!",($B36*$B$7+$C36*$C$7)/100))</f>
        <v>0.00189999995753169</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Hygroamblystegium fluviatile </v>
      </c>
      <c r="M36" s="498"/>
      <c r="N36" s="498"/>
      <c r="O36" s="498"/>
      <c r="P36" s="499" t="s">
        <v>3445</v>
      </c>
      <c r="Q36" s="500" t="n">
        <f aca="false">IF(OR($A36="NEWCOD",$A36="!!!!!!"),IF(X36="","NoCod",X36),IF($A36="","",IF(ISERROR(VLOOKUP($A36,'liste reference'!$A$6:$H$1174,8,0)),IF(ISERROR(VLOOKUP($A36,'liste reference'!$B$6:$H$1174,7,0)),"",VLOOKUP($A36,'liste reference'!$B$6:$H$1174,7,0)),VLOOKUP($A36,'liste reference'!$A$6:$H$1174,8,0))))</f>
        <v>1237</v>
      </c>
      <c r="R36" s="484" t="n">
        <f aca="false">IF(ISTEXT(H36),"",(B36*$B$7/100)+(C36*$C$7/100))</f>
        <v>0.00189999995753169</v>
      </c>
      <c r="S36" s="485" t="n">
        <f aca="false">IF(OR(ISTEXT(H36),R36=0),"",IF(R36&lt;0.1,1,IF(R36&lt;1,2,IF(R36&lt;10,3,IF(R36&lt;50,4,IF(R36&gt;=50,5,""))))))</f>
        <v>1</v>
      </c>
      <c r="T36" s="485" t="n">
        <f aca="false">IF(ISERROR(S36*J36),0,S36*J36)</f>
        <v>11</v>
      </c>
      <c r="U36" s="485" t="n">
        <f aca="false">IF(ISERROR(S36*J36*K36),0,S36*J36*K36)</f>
        <v>22</v>
      </c>
      <c r="V36" s="501" t="n">
        <f aca="false">IF(ISERROR(S36*K36),0,S36*K36)</f>
        <v>2</v>
      </c>
      <c r="W36" s="502"/>
      <c r="X36" s="503"/>
      <c r="Y36" s="488" t="str">
        <f aca="false">IF(AND(ISNUMBER(F36),OR(A36="",A36="!!!!!!")),"!!!!!!",IF(A36="new.cod","NEWCOD",IF(AND((Z36=""),ISTEXT(A36),A36&lt;&gt;"!!!!!!"),A36,IF(Z36="","",INDEX('liste reference'!$A$6:$A$1174,Z36)))))</f>
        <v>HYAFLU</v>
      </c>
      <c r="Z36" s="470" t="n">
        <f aca="false">IF(ISERROR(MATCH(A36,'liste reference'!$A$6:$A$1174,0)),IF(ISERROR(MATCH(A36,'liste reference'!$B$6:$B$1174,0)),"",(MATCH(A36,'liste reference'!$B$6:$B$1174,0))),(MATCH(A36,'liste reference'!$A$6:$A$1174,0)))</f>
        <v>281</v>
      </c>
    </row>
    <row r="37" customFormat="false" ht="12.75" hidden="false" customHeight="false" outlineLevel="0" collapsed="false">
      <c r="A37" s="489" t="s">
        <v>151</v>
      </c>
      <c r="B37" s="490" t="n">
        <v>1.2671400308609</v>
      </c>
      <c r="C37" s="491" t="n">
        <v>1.06713998317719</v>
      </c>
      <c r="D37" s="492" t="str">
        <f aca="false">IF(ISERROR(VLOOKUP($A37,'liste reference'!$A$6:$B$1174,2,0)),IF(ISERROR(VLOOKUP($A37,'liste reference'!$B$6:$B$1174,1,0)),"",VLOOKUP($A37,'liste reference'!$B$6:$B$1174,1,0)),VLOOKUP($A37,'liste reference'!$A$6:$B$1174,2,0))</f>
        <v>Diatoma sp.</v>
      </c>
      <c r="E37" s="493" t="e">
        <f aca="false">IF(D37="",0,VLOOKUP(D37,D$22:D36,1,0))</f>
        <v>#N/A</v>
      </c>
      <c r="F37" s="494" t="n">
        <f aca="false">IF(AND(OR(A37="",A37="!!!!!!"),B37="",C37=""),"",IF(OR(AND(B37="",C37=""),ISERROR(C37+B37)),"!!!",($B37*$B$7+$C37*$C$7)/100))</f>
        <v>1.229140021801</v>
      </c>
      <c r="G37" s="495" t="str">
        <f aca="false">IF(A37="","",IF(ISERROR(VLOOKUP($A37,'liste reference'!$A$6:$Q$1174,9,0)),IF(ISERROR(VLOOKUP($A37,'liste reference'!$B$6:$Q$1174,8,0)),"    -",VLOOKUP($A37,'liste reference'!$B$6:$Q$1174,8,0)),VLOOKUP($A37,'liste reference'!$A$6:$Q$1174,9,0)))</f>
        <v>ALG</v>
      </c>
      <c r="H37" s="496" t="n">
        <f aca="false">IF(A37="","x",IF(ISERROR(VLOOKUP($A37,'liste reference'!$A$6:$Q$1174,10,0)),IF(ISERROR(VLOOKUP($A37,'liste reference'!$B$6:$Q$1174,9,0)),"x",VLOOKUP($A37,'liste reference'!$B$6:$Q$1174,9,0)),VLOOKUP($A37,'liste reference'!$A$6:$Q$1174,10,0)))</f>
        <v>2</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Diatoma sp.</v>
      </c>
      <c r="M37" s="498"/>
      <c r="N37" s="498"/>
      <c r="O37" s="498"/>
      <c r="P37" s="499" t="s">
        <v>3445</v>
      </c>
      <c r="Q37" s="500" t="n">
        <f aca="false">IF(OR($A37="NEWCOD",$A37="!!!!!!"),IF(X37="","NoCod",X37),IF($A37="","",IF(ISERROR(VLOOKUP($A37,'liste reference'!$A$6:$H$1174,8,0)),IF(ISERROR(VLOOKUP($A37,'liste reference'!$B$6:$H$1174,7,0)),"",VLOOKUP($A37,'liste reference'!$B$6:$H$1174,7,0)),VLOOKUP($A37,'liste reference'!$A$6:$H$1174,8,0))))</f>
        <v>6627</v>
      </c>
      <c r="R37" s="484" t="n">
        <f aca="false">IF(ISTEXT(H37),"",(B37*$B$7/100)+(C37*$C$7/100))</f>
        <v>1.229140021801</v>
      </c>
      <c r="S37" s="485" t="n">
        <f aca="false">IF(OR(ISTEXT(H37),R37=0),"",IF(R37&lt;0.1,1,IF(R37&lt;1,2,IF(R37&lt;10,3,IF(R37&lt;50,4,IF(R37&gt;=50,5,""))))))</f>
        <v>3</v>
      </c>
      <c r="T37" s="485" t="n">
        <f aca="false">IF(ISERROR(S37*J37),0,S37*J37)</f>
        <v>36</v>
      </c>
      <c r="U37" s="485" t="n">
        <f aca="false">IF(ISERROR(S37*J37*K37),0,S37*J37*K37)</f>
        <v>72</v>
      </c>
      <c r="V37" s="501" t="n">
        <f aca="false">IF(ISERROR(S37*K37),0,S37*K37)</f>
        <v>6</v>
      </c>
      <c r="W37" s="502"/>
      <c r="X37" s="503"/>
      <c r="Y37" s="488" t="str">
        <f aca="false">IF(AND(ISNUMBER(F37),OR(A37="",A37="!!!!!!")),"!!!!!!",IF(A37="new.cod","NEWCOD",IF(AND((Z37=""),ISTEXT(A37),A37&lt;&gt;"!!!!!!"),A37,IF(Z37="","",INDEX('liste reference'!$A$6:$A$1174,Z37)))))</f>
        <v>DIASPX</v>
      </c>
      <c r="Z37" s="470" t="n">
        <f aca="false">IF(ISERROR(MATCH(A37,'liste reference'!$A$6:$A$1174,0)),IF(ISERROR(MATCH(A37,'liste reference'!$B$6:$B$1174,0)),"",(MATCH(A37,'liste reference'!$B$6:$B$1174,0))),(MATCH(A37,'liste reference'!$A$6:$A$1174,0)))</f>
        <v>40</v>
      </c>
    </row>
    <row r="38" customFormat="false" ht="12.75" hidden="false" customHeight="false" outlineLevel="0" collapsed="false">
      <c r="A38" s="489" t="s">
        <v>244</v>
      </c>
      <c r="B38" s="490" t="n">
        <v>0.00999999977648258</v>
      </c>
      <c r="C38" s="491" t="n">
        <v>0.00999999977648258</v>
      </c>
      <c r="D38" s="492" t="str">
        <f aca="false">IF(ISERROR(VLOOKUP($A38,'liste reference'!$A$6:$B$1174,2,0)),IF(ISERROR(VLOOKUP($A38,'liste reference'!$B$6:$B$1174,1,0)),"",VLOOKUP($A38,'liste reference'!$B$6:$B$1174,1,0)),VLOOKUP($A38,'liste reference'!$A$6:$B$1174,2,0))</f>
        <v>Mougeotia sp.</v>
      </c>
      <c r="E38" s="493" t="e">
        <f aca="false">IF(D38="",0,VLOOKUP(D38,D$22:D37,1,0))</f>
        <v>#N/A</v>
      </c>
      <c r="F38" s="494" t="n">
        <f aca="false">IF(AND(OR(A38="",A38="!!!!!!"),B38="",C38=""),"",IF(OR(AND(B38="",C38=""),ISERROR(C38+B38)),"!!!",($B38*$B$7+$C38*$C$7)/100))</f>
        <v>0.00999999977648258</v>
      </c>
      <c r="G38" s="495" t="str">
        <f aca="false">IF(A38="","",IF(ISERROR(VLOOKUP($A38,'liste reference'!$A$6:$Q$1174,9,0)),IF(ISERROR(VLOOKUP($A38,'liste reference'!$B$6:$Q$1174,8,0)),"    -",VLOOKUP($A38,'liste reference'!$B$6:$Q$1174,8,0)),VLOOKUP($A38,'liste reference'!$A$6:$Q$1174,9,0)))</f>
        <v>ALG</v>
      </c>
      <c r="H38" s="496" t="n">
        <f aca="false">IF(A38="","x",IF(ISERROR(VLOOKUP($A38,'liste reference'!$A$6:$Q$1174,10,0)),IF(ISERROR(VLOOKUP($A38,'liste reference'!$B$6:$Q$1174,9,0)),"x",VLOOKUP($A38,'liste reference'!$B$6:$Q$1174,9,0)),VLOOKUP($A38,'liste reference'!$A$6:$Q$1174,10,0)))</f>
        <v>2</v>
      </c>
      <c r="I38" s="281" t="n">
        <f aca="false">IF(A38="","",1)</f>
        <v>1</v>
      </c>
      <c r="J38" s="497" t="n">
        <f aca="false">IF(ISNUMBER($H38),IF(ISERROR(VLOOKUP($A38,'liste reference'!$A$6:$Q$1174,6,0)),IF(ISERROR(VLOOKUP($A38,'liste reference'!$B$6:$Q$1174,5,0)),"nu",VLOOKUP($A38,'liste reference'!$B$6:$Q$1174,5,0)),VLOOKUP($A38,'liste reference'!$A$6:$Q$1174,6,0)),"nu")</f>
        <v>13</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Mougeotia sp.</v>
      </c>
      <c r="M38" s="498"/>
      <c r="N38" s="498"/>
      <c r="O38" s="498"/>
      <c r="P38" s="499" t="s">
        <v>3445</v>
      </c>
      <c r="Q38" s="500" t="n">
        <f aca="false">IF(OR($A38="NEWCOD",$A38="!!!!!!"),IF(X38="","NoCod",X38),IF($A38="","",IF(ISERROR(VLOOKUP($A38,'liste reference'!$A$6:$H$1174,8,0)),IF(ISERROR(VLOOKUP($A38,'liste reference'!$B$6:$H$1174,7,0)),"",VLOOKUP($A38,'liste reference'!$B$6:$H$1174,7,0)),VLOOKUP($A38,'liste reference'!$A$6:$H$1174,8,0))))</f>
        <v>1146</v>
      </c>
      <c r="R38" s="484" t="n">
        <f aca="false">IF(ISTEXT(H38),"",(B38*$B$7/100)+(C38*$C$7/100))</f>
        <v>0.00999999977648258</v>
      </c>
      <c r="S38" s="485" t="n">
        <f aca="false">IF(OR(ISTEXT(H38),R38=0),"",IF(R38&lt;0.1,1,IF(R38&lt;1,2,IF(R38&lt;10,3,IF(R38&lt;50,4,IF(R38&gt;=50,5,""))))))</f>
        <v>1</v>
      </c>
      <c r="T38" s="485" t="n">
        <f aca="false">IF(ISERROR(S38*J38),0,S38*J38)</f>
        <v>13</v>
      </c>
      <c r="U38" s="485" t="n">
        <f aca="false">IF(ISERROR(S38*J38*K38),0,S38*J38*K38)</f>
        <v>26</v>
      </c>
      <c r="V38" s="501" t="n">
        <f aca="false">IF(ISERROR(S38*K38),0,S38*K38)</f>
        <v>2</v>
      </c>
      <c r="W38" s="502"/>
      <c r="X38" s="503"/>
      <c r="Y38" s="488" t="str">
        <f aca="false">IF(AND(ISNUMBER(F38),OR(A38="",A38="!!!!!!")),"!!!!!!",IF(A38="new.cod","NEWCOD",IF(AND((Z38=""),ISTEXT(A38),A38&lt;&gt;"!!!!!!"),A38,IF(Z38="","",INDEX('liste reference'!$A$6:$A$1174,Z38)))))</f>
        <v>MOUSPX</v>
      </c>
      <c r="Z38" s="470" t="n">
        <f aca="false">IF(ISERROR(MATCH(A38,'liste reference'!$A$6:$A$1174,0)),IF(ISERROR(MATCH(A38,'liste reference'!$B$6:$B$1174,0)),"",(MATCH(A38,'liste reference'!$B$6:$B$1174,0))),(MATCH(A38,'liste reference'!$A$6:$A$1174,0)))</f>
        <v>68</v>
      </c>
    </row>
    <row r="39" customFormat="false" ht="12.75" hidden="false" customHeight="false" outlineLevel="0" collapsed="false">
      <c r="A39" s="489" t="s">
        <v>309</v>
      </c>
      <c r="B39" s="490" t="n">
        <v>0.0500000007450581</v>
      </c>
      <c r="C39" s="491" t="n">
        <v>0.0599999986588955</v>
      </c>
      <c r="D39" s="492" t="str">
        <f aca="false">IF(ISERROR(VLOOKUP($A39,'liste reference'!$A$6:$B$1174,2,0)),IF(ISERROR(VLOOKUP($A39,'liste reference'!$B$6:$B$1174,1,0)),"",VLOOKUP($A39,'liste reference'!$B$6:$B$1174,1,0)),VLOOKUP($A39,'liste reference'!$A$6:$B$1174,2,0))</f>
        <v>Phormidium sp.</v>
      </c>
      <c r="E39" s="493" t="e">
        <f aca="false">IF(D39="",0,VLOOKUP(D39,D$22:D38,1,0))</f>
        <v>#N/A</v>
      </c>
      <c r="F39" s="494" t="n">
        <f aca="false">IF(AND(OR(A39="",A39="!!!!!!"),B39="",C39=""),"",IF(OR(AND(B39="",C39=""),ISERROR(C39+B39)),"!!!",($B39*$B$7+$C39*$C$7)/100))</f>
        <v>0.0519000003486872</v>
      </c>
      <c r="G39" s="495" t="str">
        <f aca="false">IF(A39="","",IF(ISERROR(VLOOKUP($A39,'liste reference'!$A$6:$Q$1174,9,0)),IF(ISERROR(VLOOKUP($A39,'liste reference'!$B$6:$Q$1174,8,0)),"    -",VLOOKUP($A39,'liste reference'!$B$6:$Q$1174,8,0)),VLOOKUP($A39,'liste reference'!$A$6:$Q$1174,9,0)))</f>
        <v>ALG</v>
      </c>
      <c r="H39" s="496" t="n">
        <f aca="false">IF(A39="","x",IF(ISERROR(VLOOKUP($A39,'liste reference'!$A$6:$Q$1174,10,0)),IF(ISERROR(VLOOKUP($A39,'liste reference'!$B$6:$Q$1174,9,0)),"x",VLOOKUP($A39,'liste reference'!$B$6:$Q$1174,9,0)),VLOOKUP($A39,'liste reference'!$A$6:$Q$1174,10,0)))</f>
        <v>2</v>
      </c>
      <c r="I39" s="281" t="n">
        <f aca="false">IF(A39="","",1)</f>
        <v>1</v>
      </c>
      <c r="J39" s="497" t="n">
        <f aca="false">IF(ISNUMBER($H39),IF(ISERROR(VLOOKUP($A39,'liste reference'!$A$6:$Q$1174,6,0)),IF(ISERROR(VLOOKUP($A39,'liste reference'!$B$6:$Q$1174,5,0)),"nu",VLOOKUP($A39,'liste reference'!$B$6:$Q$1174,5,0)),VLOOKUP($A39,'liste reference'!$A$6:$Q$1174,6,0)),"nu")</f>
        <v>13</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Phormidium sp.</v>
      </c>
      <c r="M39" s="498"/>
      <c r="N39" s="498"/>
      <c r="O39" s="498"/>
      <c r="P39" s="499" t="s">
        <v>3445</v>
      </c>
      <c r="Q39" s="500" t="n">
        <f aca="false">IF(OR($A39="NEWCOD",$A39="!!!!!!"),IF(X39="","NoCod",X39),IF($A39="","",IF(ISERROR(VLOOKUP($A39,'liste reference'!$A$6:$H$1174,8,0)),IF(ISERROR(VLOOKUP($A39,'liste reference'!$B$6:$H$1174,7,0)),"",VLOOKUP($A39,'liste reference'!$B$6:$H$1174,7,0)),VLOOKUP($A39,'liste reference'!$A$6:$H$1174,8,0))))</f>
        <v>6414</v>
      </c>
      <c r="R39" s="484" t="n">
        <f aca="false">IF(ISTEXT(H39),"",(B39*$B$7/100)+(C39*$C$7/100))</f>
        <v>0.0519000003486872</v>
      </c>
      <c r="S39" s="485" t="n">
        <f aca="false">IF(OR(ISTEXT(H39),R39=0),"",IF(R39&lt;0.1,1,IF(R39&lt;1,2,IF(R39&lt;10,3,IF(R39&lt;50,4,IF(R39&gt;=50,5,""))))))</f>
        <v>1</v>
      </c>
      <c r="T39" s="485" t="n">
        <f aca="false">IF(ISERROR(S39*J39),0,S39*J39)</f>
        <v>13</v>
      </c>
      <c r="U39" s="485" t="n">
        <f aca="false">IF(ISERROR(S39*J39*K39),0,S39*J39*K39)</f>
        <v>26</v>
      </c>
      <c r="V39" s="501" t="n">
        <f aca="false">IF(ISERROR(S39*K39),0,S39*K39)</f>
        <v>2</v>
      </c>
      <c r="W39" s="502"/>
      <c r="X39" s="503"/>
      <c r="Y39" s="488" t="str">
        <f aca="false">IF(AND(ISNUMBER(F39),OR(A39="",A39="!!!!!!")),"!!!!!!",IF(A39="new.cod","NEWCOD",IF(AND((Z39=""),ISTEXT(A39),A39&lt;&gt;"!!!!!!"),A39,IF(Z39="","",INDEX('liste reference'!$A$6:$A$1174,Z39)))))</f>
        <v>PHOSPX</v>
      </c>
      <c r="Z39" s="470" t="n">
        <f aca="false">IF(ISERROR(MATCH(A39,'liste reference'!$A$6:$A$1174,0)),IF(ISERROR(MATCH(A39,'liste reference'!$B$6:$B$1174,0)),"",(MATCH(A39,'liste reference'!$B$6:$B$1174,0))),(MATCH(A39,'liste reference'!$A$6:$A$1174,0)))</f>
        <v>88</v>
      </c>
    </row>
    <row r="40" customFormat="false" ht="12.75" hidden="false" customHeight="false" outlineLevel="0" collapsed="false">
      <c r="A40" s="489" t="s">
        <v>1800</v>
      </c>
      <c r="B40" s="490" t="n">
        <v>0.200000002980232</v>
      </c>
      <c r="C40" s="491" t="n">
        <v>9</v>
      </c>
      <c r="D40" s="492" t="str">
        <f aca="false">IF(ISERROR(VLOOKUP($A40,'liste reference'!$A$6:$B$1174,2,0)),IF(ISERROR(VLOOKUP($A40,'liste reference'!$B$6:$B$1174,1,0)),"",VLOOKUP($A40,'liste reference'!$B$6:$B$1174,1,0)),VLOOKUP($A40,'liste reference'!$A$6:$B$1174,2,0))</f>
        <v>Ranunculus penicillatus var. calcareus</v>
      </c>
      <c r="E40" s="493" t="e">
        <f aca="false">IF(D40="",0,VLOOKUP(D40,D$22:D39,1,0))</f>
        <v>#N/A</v>
      </c>
      <c r="F40" s="494" t="n">
        <f aca="false">IF(AND(OR(A40="",A40="!!!!!!"),B40="",C40=""),"",IF(OR(AND(B40="",C40=""),ISERROR(C40+B40)),"!!!",($B40*$B$7+$C40*$C$7)/100))</f>
        <v>1.87200000241399</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13</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Ranunculus penicillatus var. calcareus</v>
      </c>
      <c r="M40" s="498"/>
      <c r="N40" s="498"/>
      <c r="O40" s="498"/>
      <c r="P40" s="499" t="s">
        <v>3445</v>
      </c>
      <c r="Q40" s="500" t="n">
        <f aca="false">IF(OR($A40="NEWCOD",$A40="!!!!!!"),IF(X40="","NoCod",X40),IF($A40="","",IF(ISERROR(VLOOKUP($A40,'liste reference'!$A$6:$H$1174,8,0)),IF(ISERROR(VLOOKUP($A40,'liste reference'!$B$6:$H$1174,7,0)),"",VLOOKUP($A40,'liste reference'!$B$6:$H$1174,7,0)),VLOOKUP($A40,'liste reference'!$A$6:$H$1174,8,0))))</f>
        <v>29941</v>
      </c>
      <c r="R40" s="484" t="n">
        <f aca="false">IF(ISTEXT(H40),"",(B40*$B$7/100)+(C40*$C$7/100))</f>
        <v>1.87200000241399</v>
      </c>
      <c r="S40" s="485" t="n">
        <f aca="false">IF(OR(ISTEXT(H40),R40=0),"",IF(R40&lt;0.1,1,IF(R40&lt;1,2,IF(R40&lt;10,3,IF(R40&lt;50,4,IF(R40&gt;=50,5,""))))))</f>
        <v>3</v>
      </c>
      <c r="T40" s="485" t="n">
        <f aca="false">IF(ISERROR(S40*J40),0,S40*J40)</f>
        <v>39</v>
      </c>
      <c r="U40" s="485" t="n">
        <f aca="false">IF(ISERROR(S40*J40*K40),0,S40*J40*K40)</f>
        <v>78</v>
      </c>
      <c r="V40" s="501" t="n">
        <f aca="false">IF(ISERROR(S40*K40),0,S40*K40)</f>
        <v>6</v>
      </c>
      <c r="W40" s="502"/>
      <c r="X40" s="503"/>
      <c r="Y40" s="488" t="str">
        <f aca="false">IF(AND(ISNUMBER(F40),OR(A40="",A40="!!!!!!")),"!!!!!!",IF(A40="new.cod","NEWCOD",IF(AND((Z40=""),ISTEXT(A40),A40&lt;&gt;"!!!!!!"),A40,IF(Z40="","",INDEX('liste reference'!$A$6:$A$1174,Z40)))))</f>
        <v>RANPEC</v>
      </c>
      <c r="Z40" s="470" t="n">
        <f aca="false">IF(ISERROR(MATCH(A40,'liste reference'!$A$6:$A$1174,0)),IF(ISERROR(MATCH(A40,'liste reference'!$B$6:$B$1174,0)),"",(MATCH(A40,'liste reference'!$B$6:$B$1174,0))),(MATCH(A40,'liste reference'!$A$6:$A$1174,0)))</f>
        <v>572</v>
      </c>
    </row>
    <row r="41" customFormat="false" ht="12.75" hidden="false" customHeight="false" outlineLevel="0" collapsed="false">
      <c r="A41" s="489" t="s">
        <v>348</v>
      </c>
      <c r="B41" s="490" t="n">
        <v>0.00999999977648258</v>
      </c>
      <c r="C41" s="491" t="n">
        <v>0.00999999977648258</v>
      </c>
      <c r="D41" s="492" t="str">
        <f aca="false">IF(ISERROR(VLOOKUP($A41,'liste reference'!$A$6:$B$1174,2,0)),IF(ISERROR(VLOOKUP($A41,'liste reference'!$B$6:$B$1174,1,0)),"",VLOOKUP($A41,'liste reference'!$B$6:$B$1174,1,0)),VLOOKUP($A41,'liste reference'!$A$6:$B$1174,2,0))</f>
        <v>Stigeoclonium sp. (excep. S. tenue)</v>
      </c>
      <c r="E41" s="493" t="e">
        <f aca="false">IF(D41="",0,VLOOKUP(D41,D$22:D40,1,0))</f>
        <v>#N/A</v>
      </c>
      <c r="F41" s="494" t="n">
        <f aca="false">IF(AND(OR(A41="",A41="!!!!!!"),B41="",C41=""),"",IF(OR(AND(B41="",C41=""),ISERROR(C41+B41)),"!!!",($B41*$B$7+$C41*$C$7)/100))</f>
        <v>0.00999999977648258</v>
      </c>
      <c r="G41" s="495" t="str">
        <f aca="false">IF(A41="","",IF(ISERROR(VLOOKUP($A41,'liste reference'!$A$6:$Q$1174,9,0)),IF(ISERROR(VLOOKUP($A41,'liste reference'!$B$6:$Q$1174,8,0)),"    -",VLOOKUP($A41,'liste reference'!$B$6:$Q$1174,8,0)),VLOOKUP($A41,'liste reference'!$A$6:$Q$1174,9,0)))</f>
        <v>ALG</v>
      </c>
      <c r="H41" s="496" t="n">
        <f aca="false">IF(A41="","x",IF(ISERROR(VLOOKUP($A41,'liste reference'!$A$6:$Q$1174,10,0)),IF(ISERROR(VLOOKUP($A41,'liste reference'!$B$6:$Q$1174,9,0)),"x",VLOOKUP($A41,'liste reference'!$B$6:$Q$1174,9,0)),VLOOKUP($A41,'liste reference'!$A$6:$Q$1174,10,0)))</f>
        <v>2</v>
      </c>
      <c r="I41" s="281" t="n">
        <f aca="false">IF(A41="","",1)</f>
        <v>1</v>
      </c>
      <c r="J41" s="497" t="n">
        <f aca="false">IF(ISNUMBER($H41),IF(ISERROR(VLOOKUP($A41,'liste reference'!$A$6:$Q$1174,6,0)),IF(ISERROR(VLOOKUP($A41,'liste reference'!$B$6:$Q$1174,5,0)),"nu",VLOOKUP($A41,'liste reference'!$B$6:$Q$1174,5,0)),VLOOKUP($A41,'liste reference'!$A$6:$Q$1174,6,0)),"nu")</f>
        <v>13</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Stigeoclonium sp. (excep. S. tenue)</v>
      </c>
      <c r="M41" s="498"/>
      <c r="N41" s="498"/>
      <c r="O41" s="498"/>
      <c r="P41" s="499" t="s">
        <v>3445</v>
      </c>
      <c r="Q41" s="500" t="n">
        <f aca="false">IF(OR($A41="NEWCOD",$A41="!!!!!!"),IF(X41="","NoCod",X41),IF($A41="","",IF(ISERROR(VLOOKUP($A41,'liste reference'!$A$6:$H$1174,8,0)),IF(ISERROR(VLOOKUP($A41,'liste reference'!$B$6:$H$1174,7,0)),"",VLOOKUP($A41,'liste reference'!$B$6:$H$1174,7,0)),VLOOKUP($A41,'liste reference'!$A$6:$H$1174,8,0))))</f>
        <v>1119</v>
      </c>
      <c r="R41" s="484" t="n">
        <f aca="false">IF(ISTEXT(H41),"",(B41*$B$7/100)+(C41*$C$7/100))</f>
        <v>0.00999999977648258</v>
      </c>
      <c r="S41" s="485" t="n">
        <f aca="false">IF(OR(ISTEXT(H41),R41=0),"",IF(R41&lt;0.1,1,IF(R41&lt;1,2,IF(R41&lt;10,3,IF(R41&lt;50,4,IF(R41&gt;=50,5,""))))))</f>
        <v>1</v>
      </c>
      <c r="T41" s="485" t="n">
        <f aca="false">IF(ISERROR(S41*J41),0,S41*J41)</f>
        <v>13</v>
      </c>
      <c r="U41" s="485" t="n">
        <f aca="false">IF(ISERROR(S41*J41*K41),0,S41*J41*K41)</f>
        <v>26</v>
      </c>
      <c r="V41" s="501" t="n">
        <f aca="false">IF(ISERROR(S41*K41),0,S41*K41)</f>
        <v>2</v>
      </c>
      <c r="W41" s="502"/>
      <c r="X41" s="503"/>
      <c r="Y41" s="488" t="str">
        <f aca="false">IF(AND(ISNUMBER(F41),OR(A41="",A41="!!!!!!")),"!!!!!!",IF(A41="new.cod","NEWCOD",IF(AND((Z41=""),ISTEXT(A41),A41&lt;&gt;"!!!!!!"),A41,IF(Z41="","",INDEX('liste reference'!$A$6:$A$1174,Z41)))))</f>
        <v>STISPX</v>
      </c>
      <c r="Z41" s="470" t="n">
        <f aca="false">IF(ISERROR(MATCH(A41,'liste reference'!$A$6:$A$1174,0)),IF(ISERROR(MATCH(A41,'liste reference'!$B$6:$B$1174,0)),"",(MATCH(A41,'liste reference'!$B$6:$B$1174,0))),(MATCH(A41,'liste reference'!$A$6:$A$1174,0)))</f>
        <v>104</v>
      </c>
    </row>
    <row r="42" customFormat="false" ht="12.75" hidden="false" customHeight="false" outlineLevel="0" collapsed="false">
      <c r="A42" s="489" t="s">
        <v>704</v>
      </c>
      <c r="B42" s="490" t="n">
        <v>0</v>
      </c>
      <c r="C42" s="491" t="n">
        <v>0.00999999977648258</v>
      </c>
      <c r="D42" s="492" t="str">
        <f aca="false">IF(ISERROR(VLOOKUP($A42,'liste reference'!$A$6:$B$1174,2,0)),IF(ISERROR(VLOOKUP($A42,'liste reference'!$B$6:$B$1174,1,0)),"",VLOOKUP($A42,'liste reference'!$B$6:$B$1174,1,0)),VLOOKUP($A42,'liste reference'!$A$6:$B$1174,2,0))</f>
        <v>Cinclidotus aquaticus</v>
      </c>
      <c r="E42" s="493" t="e">
        <f aca="false">IF(D42="",0,VLOOKUP(D42,D$22:D41,1,0))</f>
        <v>#N/A</v>
      </c>
      <c r="F42" s="494" t="n">
        <f aca="false">IF(AND(OR(A42="",A42="!!!!!!"),B42="",C42=""),"",IF(OR(AND(B42="",C42=""),ISERROR(C42+B42)),"!!!",($B42*$B$7+$C42*$C$7)/100))</f>
        <v>0.00189999995753169</v>
      </c>
      <c r="G42" s="495" t="str">
        <f aca="false">IF(A42="","",IF(ISERROR(VLOOKUP($A42,'liste reference'!$A$6:$Q$1174,9,0)),IF(ISERROR(VLOOKUP($A42,'liste reference'!$B$6:$Q$1174,8,0)),"    -",VLOOKUP($A42,'liste reference'!$B$6:$Q$1174,8,0)),VLOOKUP($A42,'liste reference'!$A$6:$Q$1174,9,0)))</f>
        <v>BRm</v>
      </c>
      <c r="H42" s="496" t="n">
        <f aca="false">IF(A42="","x",IF(ISERROR(VLOOKUP($A42,'liste reference'!$A$6:$Q$1174,10,0)),IF(ISERROR(VLOOKUP($A42,'liste reference'!$B$6:$Q$1174,9,0)),"x",VLOOKUP($A42,'liste reference'!$B$6:$Q$1174,9,0)),VLOOKUP($A42,'liste reference'!$A$6:$Q$1174,10,0)))</f>
        <v>5</v>
      </c>
      <c r="I42" s="281" t="n">
        <f aca="false">IF(A42="","",1)</f>
        <v>1</v>
      </c>
      <c r="J42" s="497" t="n">
        <f aca="false">IF(ISNUMBER($H42),IF(ISERROR(VLOOKUP($A42,'liste reference'!$A$6:$Q$1174,6,0)),IF(ISERROR(VLOOKUP($A42,'liste reference'!$B$6:$Q$1174,5,0)),"nu",VLOOKUP($A42,'liste reference'!$B$6:$Q$1174,5,0)),VLOOKUP($A42,'liste reference'!$A$6:$Q$1174,6,0)),"nu")</f>
        <v>15</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Cinclidotus aquaticus</v>
      </c>
      <c r="M42" s="498"/>
      <c r="N42" s="498"/>
      <c r="O42" s="498"/>
      <c r="P42" s="499" t="s">
        <v>3445</v>
      </c>
      <c r="Q42" s="500" t="n">
        <f aca="false">IF(OR($A42="NEWCOD",$A42="!!!!!!"),IF(X42="","NoCod",X42),IF($A42="","",IF(ISERROR(VLOOKUP($A42,'liste reference'!$A$6:$H$1174,8,0)),IF(ISERROR(VLOOKUP($A42,'liste reference'!$B$6:$H$1174,7,0)),"",VLOOKUP($A42,'liste reference'!$B$6:$H$1174,7,0)),VLOOKUP($A42,'liste reference'!$A$6:$H$1174,8,0))))</f>
        <v>1318</v>
      </c>
      <c r="R42" s="484" t="n">
        <f aca="false">IF(ISTEXT(H42),"",(B42*$B$7/100)+(C42*$C$7/100))</f>
        <v>0.00189999995753169</v>
      </c>
      <c r="S42" s="485" t="n">
        <f aca="false">IF(OR(ISTEXT(H42),R42=0),"",IF(R42&lt;0.1,1,IF(R42&lt;1,2,IF(R42&lt;10,3,IF(R42&lt;50,4,IF(R42&gt;=50,5,""))))))</f>
        <v>1</v>
      </c>
      <c r="T42" s="485" t="n">
        <f aca="false">IF(ISERROR(S42*J42),0,S42*J42)</f>
        <v>15</v>
      </c>
      <c r="U42" s="485" t="n">
        <f aca="false">IF(ISERROR(S42*J42*K42),0,S42*J42*K42)</f>
        <v>30</v>
      </c>
      <c r="V42" s="501" t="n">
        <f aca="false">IF(ISERROR(S42*K42),0,S42*K42)</f>
        <v>2</v>
      </c>
      <c r="W42" s="502"/>
      <c r="X42" s="503"/>
      <c r="Y42" s="488" t="str">
        <f aca="false">IF(AND(ISNUMBER(F42),OR(A42="",A42="!!!!!!")),"!!!!!!",IF(A42="new.cod","NEWCOD",IF(AND((Z42=""),ISTEXT(A42),A42&lt;&gt;"!!!!!!"),A42,IF(Z42="","",INDEX('liste reference'!$A$6:$A$1174,Z42)))))</f>
        <v>CINAQU</v>
      </c>
      <c r="Z42" s="470" t="n">
        <f aca="false">IF(ISERROR(MATCH(A42,'liste reference'!$A$6:$A$1174,0)),IF(ISERROR(MATCH(A42,'liste reference'!$B$6:$B$1174,0)),"",(MATCH(A42,'liste reference'!$B$6:$B$1174,0))),(MATCH(A42,'liste reference'!$A$6:$A$1174,0)))</f>
        <v>221</v>
      </c>
    </row>
    <row r="43" customFormat="false" ht="12.75" hidden="false" customHeight="false" outlineLevel="0" collapsed="false">
      <c r="A43" s="489" t="s">
        <v>195</v>
      </c>
      <c r="B43" s="490" t="n">
        <v>0.00999999977648258</v>
      </c>
      <c r="C43" s="491" t="n">
        <v>0.00999999977648258</v>
      </c>
      <c r="D43" s="492" t="str">
        <f aca="false">IF(ISERROR(VLOOKUP($A43,'liste reference'!$A$6:$B$1174,2,0)),IF(ISERROR(VLOOKUP($A43,'liste reference'!$B$6:$B$1174,1,0)),"",VLOOKUP($A43,'liste reference'!$B$6:$B$1174,1,0)),VLOOKUP($A43,'liste reference'!$A$6:$B$1174,2,0))</f>
        <v>Hildenbrandia sp.</v>
      </c>
      <c r="E43" s="493" t="e">
        <f aca="false">IF(D43="",0,VLOOKUP(D43,D$22:D42,1,0))</f>
        <v>#N/A</v>
      </c>
      <c r="F43" s="494" t="n">
        <f aca="false">IF(AND(OR(A43="",A43="!!!!!!"),B43="",C43=""),"",IF(OR(AND(B43="",C43=""),ISERROR(C43+B43)),"!!!",($B43*$B$7+$C43*$C$7)/100))</f>
        <v>0.00999999977648258</v>
      </c>
      <c r="G43" s="495" t="str">
        <f aca="false">IF(A43="","",IF(ISERROR(VLOOKUP($A43,'liste reference'!$A$6:$Q$1174,9,0)),IF(ISERROR(VLOOKUP($A43,'liste reference'!$B$6:$Q$1174,8,0)),"    -",VLOOKUP($A43,'liste reference'!$B$6:$Q$1174,8,0)),VLOOKUP($A43,'liste reference'!$A$6:$Q$1174,9,0)))</f>
        <v>ALG</v>
      </c>
      <c r="H43" s="496" t="n">
        <f aca="false">IF(A43="","x",IF(ISERROR(VLOOKUP($A43,'liste reference'!$A$6:$Q$1174,10,0)),IF(ISERROR(VLOOKUP($A43,'liste reference'!$B$6:$Q$1174,9,0)),"x",VLOOKUP($A43,'liste reference'!$B$6:$Q$1174,9,0)),VLOOKUP($A43,'liste reference'!$A$6:$Q$1174,10,0)))</f>
        <v>2</v>
      </c>
      <c r="I43" s="281" t="n">
        <f aca="false">IF(A43="","",1)</f>
        <v>1</v>
      </c>
      <c r="J43" s="497" t="n">
        <f aca="false">IF(ISNUMBER($H43),IF(ISERROR(VLOOKUP($A43,'liste reference'!$A$6:$Q$1174,6,0)),IF(ISERROR(VLOOKUP($A43,'liste reference'!$B$6:$Q$1174,5,0)),"nu",VLOOKUP($A43,'liste reference'!$B$6:$Q$1174,5,0)),VLOOKUP($A43,'liste reference'!$A$6:$Q$1174,6,0)),"nu")</f>
        <v>15</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Hildenbrandia sp.</v>
      </c>
      <c r="M43" s="498"/>
      <c r="N43" s="498"/>
      <c r="O43" s="498"/>
      <c r="P43" s="499" t="s">
        <v>3445</v>
      </c>
      <c r="Q43" s="500" t="n">
        <f aca="false">IF(OR($A43="NEWCOD",$A43="!!!!!!"),IF(X43="","NoCod",X43),IF($A43="","",IF(ISERROR(VLOOKUP($A43,'liste reference'!$A$6:$H$1174,8,0)),IF(ISERROR(VLOOKUP($A43,'liste reference'!$B$6:$H$1174,7,0)),"",VLOOKUP($A43,'liste reference'!$B$6:$H$1174,7,0)),VLOOKUP($A43,'liste reference'!$A$6:$H$1174,8,0))))</f>
        <v>1157</v>
      </c>
      <c r="R43" s="484" t="n">
        <f aca="false">IF(ISTEXT(H43),"",(B43*$B$7/100)+(C43*$C$7/100))</f>
        <v>0.00999999977648258</v>
      </c>
      <c r="S43" s="485" t="n">
        <f aca="false">IF(OR(ISTEXT(H43),R43=0),"",IF(R43&lt;0.1,1,IF(R43&lt;1,2,IF(R43&lt;10,3,IF(R43&lt;50,4,IF(R43&gt;=50,5,""))))))</f>
        <v>1</v>
      </c>
      <c r="T43" s="485" t="n">
        <f aca="false">IF(ISERROR(S43*J43),0,S43*J43)</f>
        <v>15</v>
      </c>
      <c r="U43" s="485" t="n">
        <f aca="false">IF(ISERROR(S43*J43*K43),0,S43*J43*K43)</f>
        <v>30</v>
      </c>
      <c r="V43" s="501" t="n">
        <f aca="false">IF(ISERROR(S43*K43),0,S43*K43)</f>
        <v>2</v>
      </c>
      <c r="W43" s="502"/>
      <c r="X43" s="503"/>
      <c r="Y43" s="488" t="str">
        <f aca="false">IF(AND(ISNUMBER(F43),OR(A43="",A43="!!!!!!")),"!!!!!!",IF(A43="new.cod","NEWCOD",IF(AND((Z43=""),ISTEXT(A43),A43&lt;&gt;"!!!!!!"),A43,IF(Z43="","",INDEX('liste reference'!$A$6:$A$1174,Z43)))))</f>
        <v>HILSPX</v>
      </c>
      <c r="Z43" s="470" t="n">
        <f aca="false">IF(ISERROR(MATCH(A43,'liste reference'!$A$6:$A$1174,0)),IF(ISERROR(MATCH(A43,'liste reference'!$B$6:$B$1174,0)),"",(MATCH(A43,'liste reference'!$B$6:$B$1174,0))),(MATCH(A43,'liste reference'!$A$6:$A$1174,0)))</f>
        <v>53</v>
      </c>
    </row>
    <row r="44" customFormat="false" ht="12.75" hidden="false" customHeight="false" outlineLevel="0" collapsed="false">
      <c r="A44" s="489" t="s">
        <v>1255</v>
      </c>
      <c r="B44" s="490" t="n">
        <v>0</v>
      </c>
      <c r="C44" s="491" t="n">
        <v>0.00999999977648258</v>
      </c>
      <c r="D44" s="492" t="str">
        <f aca="false">IF(ISERROR(VLOOKUP($A44,'liste reference'!$A$6:$B$1174,2,0)),IF(ISERROR(VLOOKUP($A44,'liste reference'!$B$6:$B$1174,1,0)),"",VLOOKUP($A44,'liste reference'!$B$6:$B$1174,1,0)),VLOOKUP($A44,'liste reference'!$A$6:$B$1174,2,0))</f>
        <v>Equisetum arvense</v>
      </c>
      <c r="E44" s="493" t="e">
        <f aca="false">IF(D44="",0,VLOOKUP(D44,D$22:D43,1,0))</f>
        <v>#N/A</v>
      </c>
      <c r="F44" s="494" t="n">
        <f aca="false">IF(AND(OR(A44="",A44="!!!!!!"),B44="",C44=""),"",IF(OR(AND(B44="",C44=""),ISERROR(C44+B44)),"!!!",($B44*$B$7+$C44*$C$7)/100))</f>
        <v>0.00189999995753169</v>
      </c>
      <c r="G44" s="495" t="str">
        <f aca="false">IF(A44="","",IF(ISERROR(VLOOKUP($A44,'liste reference'!$A$6:$Q$1174,9,0)),IF(ISERROR(VLOOKUP($A44,'liste reference'!$B$6:$Q$1174,8,0)),"    -",VLOOKUP($A44,'liste reference'!$B$6:$Q$1174,8,0)),VLOOKUP($A44,'liste reference'!$A$6:$Q$1174,9,0)))</f>
        <v>PTE</v>
      </c>
      <c r="H44" s="496" t="n">
        <f aca="false">IF(A44="","x",IF(ISERROR(VLOOKUP($A44,'liste reference'!$A$6:$Q$1174,10,0)),IF(ISERROR(VLOOKUP($A44,'liste reference'!$B$6:$Q$1174,9,0)),"x",VLOOKUP($A44,'liste reference'!$B$6:$Q$1174,9,0)),VLOOKUP($A44,'liste reference'!$A$6:$Q$1174,10,0)))</f>
        <v>6</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Equisetum arvense</v>
      </c>
      <c r="M44" s="498"/>
      <c r="N44" s="498"/>
      <c r="O44" s="498"/>
      <c r="P44" s="499" t="s">
        <v>3445</v>
      </c>
      <c r="Q44" s="500" t="n">
        <f aca="false">IF(OR($A44="NEWCOD",$A44="!!!!!!"),IF(X44="","NoCod",X44),IF($A44="","",IF(ISERROR(VLOOKUP($A44,'liste reference'!$A$6:$H$1174,8,0)),IF(ISERROR(VLOOKUP($A44,'liste reference'!$B$6:$H$1174,7,0)),"",VLOOKUP($A44,'liste reference'!$B$6:$H$1174,7,0)),VLOOKUP($A44,'liste reference'!$A$6:$H$1174,8,0))))</f>
        <v>1384</v>
      </c>
      <c r="R44" s="484" t="n">
        <f aca="false">IF(ISTEXT(H44),"",(B44*$B$7/100)+(C44*$C$7/100))</f>
        <v>0.00189999995753169</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EQUARV</v>
      </c>
      <c r="Z44" s="470" t="n">
        <f aca="false">IF(ISERROR(MATCH(A44,'liste reference'!$A$6:$A$1174,0)),IF(ISERROR(MATCH(A44,'liste reference'!$B$6:$B$1174,0)),"",(MATCH(A44,'liste reference'!$B$6:$B$1174,0))),(MATCH(A44,'liste reference'!$A$6:$A$1174,0)))</f>
        <v>385</v>
      </c>
    </row>
    <row r="45" customFormat="false" ht="12.75" hidden="false" customHeight="false" outlineLevel="0" collapsed="false">
      <c r="A45" s="489" t="s">
        <v>169</v>
      </c>
      <c r="B45" s="490" t="n">
        <v>0.600000023841858</v>
      </c>
      <c r="C45" s="491" t="n">
        <v>0.300000011920929</v>
      </c>
      <c r="D45" s="492" t="str">
        <f aca="false">IF(ISERROR(VLOOKUP($A45,'liste reference'!$A$6:$B$1174,2,0)),IF(ISERROR(VLOOKUP($A45,'liste reference'!$B$6:$B$1174,1,0)),"",VLOOKUP($A45,'liste reference'!$B$6:$B$1174,1,0)),VLOOKUP($A45,'liste reference'!$A$6:$B$1174,2,0))</f>
        <v>Fragilaria sp.</v>
      </c>
      <c r="E45" s="493" t="e">
        <f aca="false">IF(D45="",0,VLOOKUP(D45,D$22:D44,1,0))</f>
        <v>#N/A</v>
      </c>
      <c r="F45" s="494" t="n">
        <f aca="false">IF(AND(OR(A45="",A45="!!!!!!"),B45="",C45=""),"",IF(OR(AND(B45="",C45=""),ISERROR(C45+B45)),"!!!",($B45*$B$7+$C45*$C$7)/100))</f>
        <v>0.543000021576881</v>
      </c>
      <c r="G45" s="495" t="str">
        <f aca="false">IF(A45="","",IF(ISERROR(VLOOKUP($A45,'liste reference'!$A$6:$Q$1174,9,0)),IF(ISERROR(VLOOKUP($A45,'liste reference'!$B$6:$Q$1174,8,0)),"    -",VLOOKUP($A45,'liste reference'!$B$6:$Q$1174,8,0)),VLOOKUP($A45,'liste reference'!$A$6:$Q$1174,9,0)))</f>
        <v>ALG</v>
      </c>
      <c r="H45" s="496" t="n">
        <f aca="false">IF(A45="","x",IF(ISERROR(VLOOKUP($A45,'liste reference'!$A$6:$Q$1174,10,0)),IF(ISERROR(VLOOKUP($A45,'liste reference'!$B$6:$Q$1174,9,0)),"x",VLOOKUP($A45,'liste reference'!$B$6:$Q$1174,9,0)),VLOOKUP($A45,'liste reference'!$A$6:$Q$1174,10,0)))</f>
        <v>2</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Fragilaria sp.</v>
      </c>
      <c r="M45" s="498"/>
      <c r="N45" s="498"/>
      <c r="O45" s="498"/>
      <c r="P45" s="499" t="s">
        <v>3445</v>
      </c>
      <c r="Q45" s="500" t="n">
        <f aca="false">IF(OR($A45="NEWCOD",$A45="!!!!!!"),IF(X45="","NoCod",X45),IF($A45="","",IF(ISERROR(VLOOKUP($A45,'liste reference'!$A$6:$H$1174,8,0)),IF(ISERROR(VLOOKUP($A45,'liste reference'!$B$6:$H$1174,7,0)),"",VLOOKUP($A45,'liste reference'!$B$6:$H$1174,7,0)),VLOOKUP($A45,'liste reference'!$A$6:$H$1174,8,0))))</f>
        <v>9533</v>
      </c>
      <c r="R45" s="484" t="n">
        <f aca="false">IF(ISTEXT(H45),"",(B45*$B$7/100)+(C45*$C$7/100))</f>
        <v>0.543000021576881</v>
      </c>
      <c r="S45" s="485" t="n">
        <f aca="false">IF(OR(ISTEXT(H45),R45=0),"",IF(R45&lt;0.1,1,IF(R45&lt;1,2,IF(R45&lt;10,3,IF(R45&lt;50,4,IF(R45&gt;=50,5,""))))))</f>
        <v>2</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FRASPX</v>
      </c>
      <c r="Z45" s="470" t="n">
        <f aca="false">IF(ISERROR(MATCH(A45,'liste reference'!$A$6:$A$1174,0)),IF(ISERROR(MATCH(A45,'liste reference'!$B$6:$B$1174,0)),"",(MATCH(A45,'liste reference'!$B$6:$B$1174,0))),(MATCH(A45,'liste reference'!$A$6:$A$1174,0)))</f>
        <v>46</v>
      </c>
    </row>
    <row r="46" customFormat="false" ht="12.75" hidden="false" customHeight="false" outlineLevel="0" collapsed="false">
      <c r="A46" s="489" t="s">
        <v>176</v>
      </c>
      <c r="B46" s="490" t="n">
        <v>0.00999999977648258</v>
      </c>
      <c r="C46" s="491" t="n">
        <v>0</v>
      </c>
      <c r="D46" s="492" t="str">
        <f aca="false">IF(ISERROR(VLOOKUP($A46,'liste reference'!$A$6:$B$1174,2,0)),IF(ISERROR(VLOOKUP($A46,'liste reference'!$B$6:$B$1174,1,0)),"",VLOOKUP($A46,'liste reference'!$B$6:$B$1174,1,0)),VLOOKUP($A46,'liste reference'!$A$6:$B$1174,2,0))</f>
        <v>Gomphoneis sp.</v>
      </c>
      <c r="E46" s="493" t="e">
        <f aca="false">IF(D46="",0,VLOOKUP(D46,D$22:D45,1,0))</f>
        <v>#N/A</v>
      </c>
      <c r="F46" s="494" t="n">
        <f aca="false">IF(AND(OR(A46="",A46="!!!!!!"),B46="",C46=""),"",IF(OR(AND(B46="",C46=""),ISERROR(C46+B46)),"!!!",($B46*$B$7+$C46*$C$7)/100))</f>
        <v>0.00809999981895089</v>
      </c>
      <c r="G46" s="495" t="str">
        <f aca="false">IF(A46="","",IF(ISERROR(VLOOKUP($A46,'liste reference'!$A$6:$Q$1174,9,0)),IF(ISERROR(VLOOKUP($A46,'liste reference'!$B$6:$Q$1174,8,0)),"    -",VLOOKUP($A46,'liste reference'!$B$6:$Q$1174,8,0)),VLOOKUP($A46,'liste reference'!$A$6:$Q$1174,9,0)))</f>
        <v>ALG</v>
      </c>
      <c r="H46" s="496" t="n">
        <f aca="false">IF(A46="","x",IF(ISERROR(VLOOKUP($A46,'liste reference'!$A$6:$Q$1174,10,0)),IF(ISERROR(VLOOKUP($A46,'liste reference'!$B$6:$Q$1174,9,0)),"x",VLOOKUP($A46,'liste reference'!$B$6:$Q$1174,9,0)),VLOOKUP($A46,'liste reference'!$A$6:$Q$1174,10,0)))</f>
        <v>2</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Gomphoneis sp.</v>
      </c>
      <c r="M46" s="498"/>
      <c r="N46" s="498"/>
      <c r="O46" s="498"/>
      <c r="P46" s="499" t="s">
        <v>3445</v>
      </c>
      <c r="Q46" s="500" t="n">
        <f aca="false">IF(OR($A46="NEWCOD",$A46="!!!!!!"),IF(X46="","NoCod",X46),IF($A46="","",IF(ISERROR(VLOOKUP($A46,'liste reference'!$A$6:$H$1174,8,0)),IF(ISERROR(VLOOKUP($A46,'liste reference'!$B$6:$H$1174,7,0)),"",VLOOKUP($A46,'liste reference'!$B$6:$H$1174,7,0)),VLOOKUP($A46,'liste reference'!$A$6:$H$1174,8,0))))</f>
        <v>9382</v>
      </c>
      <c r="R46" s="484" t="n">
        <f aca="false">IF(ISTEXT(H46),"",(B46*$B$7/100)+(C46*$C$7/100))</f>
        <v>0.00809999981895089</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GOMSPX</v>
      </c>
      <c r="Z46" s="470" t="n">
        <f aca="false">IF(ISERROR(MATCH(A46,'liste reference'!$A$6:$A$1174,0)),IF(ISERROR(MATCH(A46,'liste reference'!$B$6:$B$1174,0)),"",(MATCH(A46,'liste reference'!$B$6:$B$1174,0))),(MATCH(A46,'liste reference'!$A$6:$A$1174,0)))</f>
        <v>48</v>
      </c>
    </row>
    <row r="47" customFormat="false" ht="12.75" hidden="false" customHeight="false" outlineLevel="0" collapsed="false">
      <c r="A47" s="489" t="s">
        <v>2777</v>
      </c>
      <c r="B47" s="490" t="n">
        <v>0</v>
      </c>
      <c r="C47" s="491" t="n">
        <v>0.00999999977648258</v>
      </c>
      <c r="D47" s="492" t="str">
        <f aca="false">IF(ISERROR(VLOOKUP($A47,'liste reference'!$A$6:$B$1174,2,0)),IF(ISERROR(VLOOKUP($A47,'liste reference'!$B$6:$B$1174,1,0)),"",VLOOKUP($A47,'liste reference'!$B$6:$B$1174,1,0)),VLOOKUP($A47,'liste reference'!$A$6:$B$1174,2,0))</f>
        <v>Persicaria maculosa</v>
      </c>
      <c r="E47" s="493" t="e">
        <f aca="false">IF(D47="",0,VLOOKUP(D47,D$22:D46,1,0))</f>
        <v>#N/A</v>
      </c>
      <c r="F47" s="494" t="n">
        <f aca="false">IF(AND(OR(A47="",A47="!!!!!!"),B47="",C47=""),"",IF(OR(AND(B47="",C47=""),ISERROR(C47+B47)),"!!!",($B47*$B$7+$C47*$C$7)/100))</f>
        <v>0.00189999995753169</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Persicaria maculosa</v>
      </c>
      <c r="M47" s="498"/>
      <c r="N47" s="498"/>
      <c r="O47" s="498"/>
      <c r="P47" s="499" t="s">
        <v>3445</v>
      </c>
      <c r="Q47" s="500" t="n">
        <f aca="false">IF(OR($A47="NEWCOD",$A47="!!!!!!"),IF(X47="","NoCod",X47),IF($A47="","",IF(ISERROR(VLOOKUP($A47,'liste reference'!$A$6:$H$1174,8,0)),IF(ISERROR(VLOOKUP($A47,'liste reference'!$B$6:$H$1174,7,0)),"",VLOOKUP($A47,'liste reference'!$B$6:$H$1174,7,0)),VLOOKUP($A47,'liste reference'!$A$6:$H$1174,8,0))))</f>
        <v>30056</v>
      </c>
      <c r="R47" s="484" t="n">
        <f aca="false">IF(ISTEXT(H47),"",(B47*$B$7/100)+(C47*$C$7/100))</f>
        <v>0.00189999995753169</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PERMAC</v>
      </c>
      <c r="Z47" s="470" t="n">
        <f aca="false">IF(ISERROR(MATCH(A47,'liste reference'!$A$6:$A$1174,0)),IF(ISERROR(MATCH(A47,'liste reference'!$B$6:$B$1174,0)),"",(MATCH(A47,'liste reference'!$B$6:$B$1174,0))),(MATCH(A47,'liste reference'!$A$6:$A$1174,0)))</f>
        <v>927</v>
      </c>
    </row>
    <row r="48" customFormat="false" ht="12.75" hidden="false" customHeight="false" outlineLevel="0" collapsed="false">
      <c r="A48" s="489" t="s">
        <v>3461</v>
      </c>
      <c r="B48" s="490" t="n">
        <v>0.00999999977648258</v>
      </c>
      <c r="C48" s="491" t="n">
        <v>0.724286019802094</v>
      </c>
      <c r="D48" s="492" t="str">
        <f aca="false">IF(ISERROR(VLOOKUP($A48,'liste reference'!$A$6:$B$1174,2,0)),IF(ISERROR(VLOOKUP($A48,'liste reference'!$B$6:$B$1174,1,0)),"",VLOOKUP($A48,'liste reference'!$B$6:$B$1174,1,0)),VLOOKUP($A48,'liste reference'!$A$6:$B$1174,2,0))</f>
        <v/>
      </c>
      <c r="E48" s="493" t="n">
        <f aca="false">IF(D48="",0,VLOOKUP(D48,D$22:D47,1,0))</f>
        <v>0</v>
      </c>
      <c r="F48" s="494" t="n">
        <f aca="false">IF(AND(OR(A48="",A48="!!!!!!"),B48="",C48=""),"",IF(OR(AND(B48="",C48=""),ISERROR(C48+B48)),"!!!",($B48*$B$7+$C48*$C$7)/100))</f>
        <v>0.145714343581349</v>
      </c>
      <c r="G48" s="495" t="str">
        <f aca="false">IF(A48="","",IF(ISERROR(VLOOKUP($A48,'liste reference'!$A$6:$Q$1174,9,0)),IF(ISERROR(VLOOKUP($A48,'liste reference'!$B$6:$Q$1174,8,0)),"    -",VLOOKUP($A48,'liste reference'!$B$6:$Q$1174,8,0)),VLOOKUP($A48,'liste reference'!$A$6:$Q$1174,9,0)))</f>
        <v>    -</v>
      </c>
      <c r="H48" s="496" t="str">
        <f aca="false">IF(A48="","x",IF(ISERROR(VLOOKUP($A48,'liste reference'!$A$6:$Q$1174,10,0)),IF(ISERROR(VLOOKUP($A48,'liste reference'!$B$6:$Q$1174,9,0)),"x",VLOOKUP($A48,'liste reference'!$B$6:$Q$1174,9,0)),VLOOKUP($A48,'liste reference'!$A$6:$Q$1174,10,0)))</f>
        <v>x</v>
      </c>
      <c r="I48" s="281" t="n">
        <f aca="false">IF(A48="","",1)</f>
        <v>1</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Eunotia sp.</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NoCod</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t="s">
        <v>3462</v>
      </c>
      <c r="X48" s="503"/>
      <c r="Y48" s="488" t="str">
        <f aca="false">IF(AND(ISNUMBER(F48),OR(A48="",A48="!!!!!!")),"!!!!!!",IF(A48="new.cod","NEWCOD",IF(AND((Z48=""),ISTEXT(A48),A48&lt;&gt;"!!!!!!"),A48,IF(Z48="","",INDEX('liste reference'!$A$6:$A$1174,Z48)))))</f>
        <v>NEWCOD</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fals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fals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fals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fals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fals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13.4323075317964</v>
      </c>
      <c r="G83" s="424"/>
      <c r="H83" s="424"/>
      <c r="I83" s="424"/>
      <c r="J83" s="424"/>
      <c r="K83" s="424"/>
      <c r="L83" s="424"/>
      <c r="M83" s="485"/>
      <c r="N83" s="485"/>
      <c r="O83" s="485"/>
      <c r="P83" s="485"/>
      <c r="Q83" s="485"/>
      <c r="R83" s="485"/>
      <c r="S83" s="485"/>
      <c r="T83" s="485"/>
      <c r="U83" s="485"/>
      <c r="V83" s="485" t="n">
        <f aca="false">SUM(V23:V82)</f>
        <v>51</v>
      </c>
      <c r="W83" s="485"/>
      <c r="X83" s="523"/>
      <c r="Y83" s="523"/>
      <c r="Z83" s="524"/>
    </row>
    <row r="84" customFormat="false" ht="12.75" hidden="true" customHeight="false" outlineLevel="0" collapsed="false">
      <c r="A84" s="518" t="str">
        <f aca="false">A3</f>
        <v>L'Adour</v>
      </c>
      <c r="B84" s="453" t="str">
        <f aca="false">C3</f>
        <v>L'Adour à Estirac</v>
      </c>
      <c r="C84" s="525" t="str">
        <f aca="false">A4</f>
        <v>(Date)</v>
      </c>
      <c r="D84" s="526" t="n">
        <f aca="false">IF(OR(ISERROR(SUM($U$23:$U$82)/SUM($V$23:$V$82)),F7&lt;&gt;100),-1,SUM($U$23:$U$82)/SUM($V$23:$V$82))</f>
        <v>10.3921568627451</v>
      </c>
      <c r="E84" s="527" t="n">
        <f aca="false">O13</f>
        <v>26</v>
      </c>
      <c r="F84" s="453" t="n">
        <f aca="false">O14</f>
        <v>21</v>
      </c>
      <c r="G84" s="453" t="n">
        <f aca="false">O15</f>
        <v>7</v>
      </c>
      <c r="H84" s="453" t="n">
        <f aca="false">O16</f>
        <v>14</v>
      </c>
      <c r="I84" s="453" t="n">
        <f aca="false">O17</f>
        <v>0</v>
      </c>
      <c r="J84" s="528" t="n">
        <f aca="false">O8</f>
        <v>10.1428571428571</v>
      </c>
      <c r="K84" s="529" t="n">
        <f aca="false">O9</f>
        <v>2.89968330431206</v>
      </c>
      <c r="L84" s="530" t="n">
        <f aca="false">O10</f>
        <v>4</v>
      </c>
      <c r="M84" s="530" t="n">
        <f aca="false">O11</f>
        <v>15</v>
      </c>
      <c r="N84" s="529" t="n">
        <f aca="false">P8</f>
        <v>1.66666666666667</v>
      </c>
      <c r="O84" s="529" t="n">
        <f aca="false">P9</f>
        <v>0.471404520791032</v>
      </c>
      <c r="P84" s="530" t="n">
        <f aca="false">P10</f>
        <v>1</v>
      </c>
      <c r="Q84" s="530" t="n">
        <f aca="false">P11</f>
        <v>2</v>
      </c>
      <c r="R84" s="530" t="n">
        <f aca="false">F21</f>
        <v>13.4323075317964</v>
      </c>
      <c r="S84" s="530" t="n">
        <f aca="false">L11</f>
        <v>0</v>
      </c>
      <c r="T84" s="530" t="n">
        <f aca="false">L12</f>
        <v>12</v>
      </c>
      <c r="U84" s="530" t="n">
        <f aca="false">L13</f>
        <v>2</v>
      </c>
      <c r="V84" s="531" t="n">
        <f aca="false">L15</f>
        <v>10</v>
      </c>
      <c r="W84" s="532" t="n">
        <f aca="false">L15</f>
        <v>10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n">
        <f aca="false">VLOOKUP($T$91,($A$23:$U$82),20,0)</f>
        <v>24</v>
      </c>
      <c r="U87" s="281"/>
      <c r="V87" s="281"/>
    </row>
    <row r="88" customFormat="false" ht="12.75" hidden="true" customHeight="false" outlineLevel="0" collapsed="false">
      <c r="C88" s="534"/>
      <c r="D88" s="534"/>
      <c r="E88" s="534"/>
      <c r="R88" s="281" t="s">
        <v>3448</v>
      </c>
      <c r="S88" s="281"/>
      <c r="T88" s="536" t="n">
        <f aca="false">VLOOKUP($T$91,($A$23:$U$82),21,0)</f>
        <v>48</v>
      </c>
      <c r="U88" s="281"/>
      <c r="V88" s="281" t="n">
        <f aca="false">COUNTIF(V23:V82,T89)</f>
        <v>3</v>
      </c>
    </row>
    <row r="89" customFormat="false" ht="12.75" hidden="true" customHeight="false" outlineLevel="0" collapsed="false">
      <c r="C89" s="534"/>
      <c r="D89" s="534"/>
      <c r="E89" s="534"/>
      <c r="R89" s="281" t="s">
        <v>3449</v>
      </c>
      <c r="S89" s="281"/>
      <c r="T89" s="536" t="n">
        <f aca="false">MAX($V$23:$V$82)</f>
        <v>6</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10.7111111111111</v>
      </c>
      <c r="U90" s="281" t="n">
        <f aca="false">IF(ISERROR(T90),0,1)</f>
        <v>1</v>
      </c>
      <c r="V90" s="0"/>
    </row>
    <row r="91" customFormat="false" ht="12.75" hidden="true" customHeight="false" outlineLevel="0" collapsed="false">
      <c r="C91" s="534"/>
      <c r="D91" s="534"/>
      <c r="E91" s="534"/>
      <c r="R91" s="485" t="s">
        <v>3452</v>
      </c>
      <c r="S91" s="485"/>
      <c r="T91" s="485" t="str">
        <f aca="false">INDEX('liste reference'!$A$6:$A$1174,$U$91)</f>
        <v>ELONUT</v>
      </c>
      <c r="U91" s="281" t="n">
        <f aca="false">IF(ISERROR(MATCH($T$93,'liste reference'!$A$6:$A$1174,0)),MATCH($T$93,'liste reference'!$B$6:$B$1174,0),(MATCH($T$93,'liste reference'!$A$6:$A$1174,0)))</f>
        <v>454</v>
      </c>
      <c r="V91" s="538"/>
    </row>
    <row r="92" customFormat="false" ht="12.75" hidden="true" customHeight="false" outlineLevel="0" collapsed="false">
      <c r="C92" s="534"/>
      <c r="D92" s="534"/>
      <c r="E92" s="534"/>
      <c r="R92" s="281" t="s">
        <v>3453</v>
      </c>
      <c r="S92" s="281"/>
      <c r="T92" s="281" t="n">
        <f aca="false">MATCH(T89,$V$23:$V$82,0)</f>
        <v>5</v>
      </c>
      <c r="U92" s="281"/>
    </row>
    <row r="93" customFormat="false" ht="12.75" hidden="true" customHeight="false" outlineLevel="0" collapsed="false">
      <c r="C93" s="534"/>
      <c r="D93" s="534"/>
      <c r="E93" s="534"/>
      <c r="R93" s="485" t="s">
        <v>3454</v>
      </c>
      <c r="S93" s="281"/>
      <c r="T93" s="485" t="str">
        <f aca="false">INDEX($A$23:$A$82,$T$92)</f>
        <v>ELONUT</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3359</v>
      </c>
      <c r="F1" s="543" t="s">
        <v>3464</v>
      </c>
      <c r="G1" s="544"/>
      <c r="H1" s="544"/>
      <c r="I1" s="545"/>
      <c r="J1" s="545"/>
      <c r="K1" s="545"/>
      <c r="L1" s="546"/>
    </row>
    <row r="2" customFormat="false" ht="15" hidden="false" customHeight="false" outlineLevel="0" collapsed="false">
      <c r="A2" s="547" t="s">
        <v>3465</v>
      </c>
      <c r="B2" s="548"/>
      <c r="C2" s="549"/>
      <c r="D2" s="549"/>
      <c r="E2" s="550"/>
      <c r="F2" s="543" t="s">
        <v>3466</v>
      </c>
      <c r="G2" s="544"/>
      <c r="H2" s="544"/>
      <c r="I2" s="545"/>
      <c r="J2" s="545"/>
      <c r="K2" s="545"/>
      <c r="L2" s="546"/>
    </row>
    <row r="3" customFormat="false" ht="15.75" hidden="false" customHeight="false" outlineLevel="0" collapsed="false">
      <c r="A3" s="547" t="s">
        <v>3467</v>
      </c>
      <c r="B3" s="548"/>
      <c r="C3" s="549"/>
      <c r="D3" s="551" t="s">
        <v>3468</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3469</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3461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3470</v>
      </c>
      <c r="G17" s="570"/>
      <c r="H17" s="571" t="s">
        <v>3471</v>
      </c>
      <c r="I17" s="570"/>
    </row>
    <row r="18" customFormat="false" ht="15" hidden="false" customHeight="false" outlineLevel="0" collapsed="false">
      <c r="A18" s="563"/>
      <c r="B18" s="566" t="s">
        <v>2963</v>
      </c>
      <c r="C18" s="567"/>
      <c r="D18" s="568"/>
      <c r="F18" s="572" t="s">
        <v>3472</v>
      </c>
      <c r="G18" s="573"/>
      <c r="H18" s="572" t="s">
        <v>3472</v>
      </c>
      <c r="I18" s="574"/>
    </row>
    <row r="19" customFormat="false" ht="15" hidden="false" customHeight="false" outlineLevel="0" collapsed="false">
      <c r="A19" s="563"/>
      <c r="B19" s="566" t="s">
        <v>2965</v>
      </c>
      <c r="C19" s="567"/>
      <c r="D19" s="568"/>
      <c r="F19" s="575" t="s">
        <v>3458</v>
      </c>
      <c r="G19" s="8"/>
      <c r="H19" s="575" t="s">
        <v>3458</v>
      </c>
      <c r="I19" s="576"/>
    </row>
    <row r="20" customFormat="false" ht="15" hidden="false" customHeight="false" outlineLevel="0" collapsed="false">
      <c r="A20" s="563"/>
      <c r="B20" s="566" t="s">
        <v>2969</v>
      </c>
      <c r="C20" s="567"/>
      <c r="D20" s="568"/>
      <c r="F20" s="575" t="s">
        <v>3473</v>
      </c>
      <c r="G20" s="8"/>
      <c r="H20" s="575" t="s">
        <v>3473</v>
      </c>
      <c r="I20" s="576"/>
    </row>
    <row r="21" customFormat="false" ht="15" hidden="false" customHeight="false" outlineLevel="0" collapsed="false">
      <c r="A21" s="563"/>
      <c r="B21" s="566" t="s">
        <v>2318</v>
      </c>
      <c r="C21" s="567"/>
      <c r="D21" s="568"/>
      <c r="F21" s="575" t="s">
        <v>3474</v>
      </c>
      <c r="G21" s="8"/>
      <c r="H21" s="575" t="s">
        <v>3474</v>
      </c>
      <c r="I21" s="576"/>
    </row>
    <row r="22" customFormat="false" ht="15" hidden="false" customHeight="false" outlineLevel="0" collapsed="false">
      <c r="A22" s="563"/>
      <c r="B22" s="566" t="s">
        <v>2971</v>
      </c>
      <c r="C22" s="567"/>
      <c r="D22" s="568"/>
      <c r="F22" s="575" t="s">
        <v>3475</v>
      </c>
      <c r="G22" s="8"/>
      <c r="H22" s="575" t="s">
        <v>3475</v>
      </c>
      <c r="I22" s="576"/>
    </row>
    <row r="23" customFormat="false" ht="15" hidden="false" customHeight="false" outlineLevel="0" collapsed="false">
      <c r="A23" s="563"/>
      <c r="B23" s="566" t="s">
        <v>1933</v>
      </c>
      <c r="C23" s="567"/>
      <c r="D23" s="568"/>
      <c r="F23" s="575" t="s">
        <v>3476</v>
      </c>
      <c r="G23" s="8"/>
      <c r="H23" s="575" t="s">
        <v>3476</v>
      </c>
      <c r="I23" s="576"/>
    </row>
    <row r="24" customFormat="false" ht="15" hidden="false" customHeight="false" outlineLevel="0" collapsed="false">
      <c r="A24" s="563"/>
      <c r="B24" s="566" t="s">
        <v>2973</v>
      </c>
      <c r="C24" s="567"/>
      <c r="D24" s="568"/>
      <c r="F24" s="575" t="s">
        <v>3477</v>
      </c>
      <c r="G24" s="8"/>
      <c r="H24" s="575" t="s">
        <v>3477</v>
      </c>
      <c r="I24" s="576"/>
    </row>
    <row r="25" customFormat="false" ht="15" hidden="false" customHeight="false" outlineLevel="0" collapsed="false">
      <c r="A25" s="563"/>
      <c r="B25" s="566" t="s">
        <v>1354</v>
      </c>
      <c r="C25" s="567"/>
      <c r="D25" s="568"/>
      <c r="F25" s="575" t="s">
        <v>3478</v>
      </c>
      <c r="G25" s="8"/>
      <c r="H25" s="575" t="s">
        <v>3478</v>
      </c>
      <c r="I25" s="576"/>
    </row>
    <row r="26" customFormat="false" ht="15" hidden="false" customHeight="false" outlineLevel="0" collapsed="false">
      <c r="A26" s="563"/>
      <c r="B26" s="566" t="s">
        <v>1357</v>
      </c>
      <c r="C26" s="567"/>
      <c r="D26" s="568"/>
      <c r="F26" s="575" t="s">
        <v>3479</v>
      </c>
      <c r="G26" s="8"/>
      <c r="H26" s="575" t="s">
        <v>3479</v>
      </c>
      <c r="I26" s="576"/>
    </row>
    <row r="27" customFormat="false" ht="15" hidden="false" customHeight="false" outlineLevel="0" collapsed="false">
      <c r="A27" s="563"/>
      <c r="B27" s="566" t="s">
        <v>1329</v>
      </c>
      <c r="C27" s="567"/>
      <c r="D27" s="568"/>
      <c r="F27" s="577" t="s">
        <v>3480</v>
      </c>
      <c r="G27" s="578"/>
      <c r="H27" s="577" t="s">
        <v>3480</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3481</v>
      </c>
    </row>
    <row r="31" customFormat="false" ht="15" hidden="false" customHeight="false" outlineLevel="0" collapsed="false">
      <c r="A31" s="563"/>
      <c r="B31" s="566" t="s">
        <v>2323</v>
      </c>
      <c r="C31" s="567"/>
      <c r="D31" s="568"/>
      <c r="F31" s="581" t="s">
        <v>3482</v>
      </c>
    </row>
    <row r="32" customFormat="false" ht="15" hidden="false" customHeight="false" outlineLevel="0" collapsed="false">
      <c r="A32" s="563"/>
      <c r="B32" s="566" t="s">
        <v>2325</v>
      </c>
      <c r="C32" s="567"/>
      <c r="D32" s="568"/>
      <c r="F32" s="582" t="s">
        <v>3445</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3483</v>
      </c>
    </row>
    <row r="37" customFormat="false" ht="15" hidden="false" customHeight="false" outlineLevel="0" collapsed="false">
      <c r="A37" s="563"/>
      <c r="B37" s="566" t="s">
        <v>2979</v>
      </c>
      <c r="C37" s="567"/>
      <c r="D37" s="568"/>
      <c r="F37" s="581" t="s">
        <v>3484</v>
      </c>
    </row>
    <row r="38" customFormat="false" ht="15" hidden="false" customHeight="false" outlineLevel="0" collapsed="false">
      <c r="A38" s="563"/>
      <c r="B38" s="566" t="s">
        <v>2981</v>
      </c>
      <c r="C38" s="567"/>
      <c r="D38" s="568"/>
      <c r="F38" s="583" t="s">
        <v>3485</v>
      </c>
    </row>
    <row r="39" customFormat="false" ht="15" hidden="false" customHeight="false" outlineLevel="0" collapsed="false">
      <c r="A39" s="563"/>
      <c r="B39" s="566" t="s">
        <v>2983</v>
      </c>
      <c r="C39" s="567"/>
      <c r="D39" s="568"/>
      <c r="F39" s="583" t="s">
        <v>3486</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Elodie Petit</cp:lastModifiedBy>
  <cp:lastPrinted>2017-02-13T16:18:25Z</cp:lastPrinted>
  <dcterms:modified xsi:type="dcterms:W3CDTF">2017-02-13T16:18:28Z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