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<sst xmlns="http://schemas.openxmlformats.org/spreadsheetml/2006/main" count="217" uniqueCount="96">
  <si>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</si>
  <si>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</si>
  <si>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 ENVIRONNEMENT</t>
  </si>
  <si>
    <t>BERNARD CYRIL BELLY PIERRE</t>
  </si>
  <si>
    <t>ROCHEFORT</t>
  </si>
  <si>
    <t>ROCHEFORT AUX ARDILLATS</t>
  </si>
  <si>
    <t>06051350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</si>
  <si>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</si>
  <si>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</si>
  <si>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</si>
  <si>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</si>
  <si>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</si>
  <si>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</si>
  <si>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</si>
  <si>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</si>
  <si>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</si>
  <si>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</si>
  <si>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</si>
  <si>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rapide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</si>
  <si>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</si>
  <si>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</si>
  <si>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</si>
  <si>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</si>
  <si>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</si>
  <si>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</si>
  <si>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</si>
  <si>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</si>
  <si>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</si>
  <si>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</si>
  <si>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</si>
  <si>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</si>
  <si>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</si>
  <si>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</si>
  <si>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</si>
  <si>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</si>
  <si>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</si>
  <si>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</si>
  <si>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</si>
  <si>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</si>
  <si>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</si>
  <si>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</si>
  <si>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</si>
  <si>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</si>
  <si>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</si>
  <si>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</si>
  <si>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</si>
  <si>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</si>
  <si>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</si>
  <si>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</si>
  <si>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</si>
  <si>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</si>
  <si>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</si>
  <si>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</si>
  <si>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</si>
  <si>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</si>
  <si>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</si>
  <si>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</si>
  <si>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</si>
  <si>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</si>
  <si>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</si>
  <si>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</si>
  <si>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</si>
  <si>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</si>
  <si>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</si>
  <si>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</si>
  <si>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</si>
  <si>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</si>
  <si>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</si>
  <si>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</si>
  <si>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</si>
  <si>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</si>
  <si>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</si>
  <si>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</si>
  <si>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</si>
  <si>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</si>
  <si>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</si>
  <si>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</si>
  <si>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</si>
  <si>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</si>
  <si>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</si>
  <si>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ENCSPX</t>
  </si>
  <si>
    <t xml:space="preserve"> -</t>
  </si>
  <si>
    <t>HILSPX</t>
  </si>
  <si>
    <t>PAASPX</t>
  </si>
  <si>
    <t>CHIPOL</t>
  </si>
  <si>
    <t>HYAFLU</t>
  </si>
  <si>
    <t>RHYRIP</t>
  </si>
  <si>
    <t>PHAARU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</si>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</sst>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OCAR_30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35" sqref="C35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42277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12.8</v>
      </c>
      <c r="N5" s="50"/>
      <c r="O5" s="51" t="s">
        <v>16</v>
      </c>
      <c r="P5" s="52">
        <v>12.727272727272727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85</v>
      </c>
      <c r="C7" s="68">
        <v>15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12.666666666666666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15.36</v>
      </c>
      <c r="C9" s="88">
        <v>1.07</v>
      </c>
      <c r="D9" s="89"/>
      <c r="E9" s="89"/>
      <c r="F9" s="90">
        <f>($B9*$B$7+$C9*$C$7)/100</f>
        <v>13.216499999999998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1.8856180831641267</v>
      </c>
      <c r="P9" s="85">
        <f>IF(ISERROR(STDEVP(K23:K82)),"  ",STDEVP(K23:K82))</f>
        <v>0.4714045207910317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10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0.28</v>
      </c>
      <c r="C12" s="114">
        <v>0.05</v>
      </c>
      <c r="D12" s="89"/>
      <c r="E12" s="89"/>
      <c r="F12" s="106">
        <f>($B12*$B$7+$C12*$C$7)/100</f>
        <v>0.2455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15.08</v>
      </c>
      <c r="C13" s="114">
        <v>1.01</v>
      </c>
      <c r="D13" s="89"/>
      <c r="E13" s="89"/>
      <c r="F13" s="106">
        <f>($B13*$B$7+$C13*$C$7)/100</f>
        <v>12.9695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3</v>
      </c>
      <c r="M13" s="111"/>
      <c r="N13" s="120" t="s">
        <v>41</v>
      </c>
      <c r="O13" s="121">
        <f>COUNTIF(F23:F82,"&gt;0")</f>
        <v>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6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>
        <v>0.01</v>
      </c>
      <c r="D15" s="89"/>
      <c r="E15" s="89"/>
      <c r="F15" s="106">
        <f>($B15*$B$7+$C15*$C$7)/100</f>
        <v>0.0015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47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4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15.36</v>
      </c>
      <c r="C17" s="114">
        <v>1.06</v>
      </c>
      <c r="D17" s="89"/>
      <c r="E17" s="89"/>
      <c r="F17" s="133"/>
      <c r="G17" s="134">
        <f>($B17*$B$7+$C17*$C$7)/100</f>
        <v>13.215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0.75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0.01</v>
      </c>
      <c r="D18" s="89"/>
      <c r="E18" s="144" t="s">
        <v>54</v>
      </c>
      <c r="F18" s="133"/>
      <c r="G18" s="134">
        <f>($B18*$B$7+$C18*$C$7)/100</f>
        <v>0.0015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13.2165</v>
      </c>
      <c r="G19" s="157">
        <f>SUM(G16:G18)</f>
        <v>13.2165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15.36</v>
      </c>
      <c r="C20" s="167">
        <f>SUM(C23:C62)</f>
        <v>1.07</v>
      </c>
      <c r="D20" s="168"/>
      <c r="E20" s="169" t="s">
        <v>54</v>
      </c>
      <c r="F20" s="170">
        <f>($B20*$B$7+$C20*$C$7)/100</f>
        <v>13.216499999999998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13.056</v>
      </c>
      <c r="C21" s="178">
        <f>C20*C7/100</f>
        <v>0.1605</v>
      </c>
      <c r="D21" s="179" t="s">
        <v>58</v>
      </c>
      <c r="E21" s="180"/>
      <c r="F21" s="181">
        <f>B21+C21</f>
        <v>13.2165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0.05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Encyonema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0.044000000000000004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 t="str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nc</v>
      </c>
      <c r="K23" s="214" t="str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nc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Encyonema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9378</v>
      </c>
      <c r="R23" s="219">
        <f aca="true" t="shared" si="2" ref="R23:R82">IF(ISTEXT(H23),"",(B23*$B$7/100)+(C23*$C$7/100))</f>
        <v>0.044000000000000004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0</v>
      </c>
      <c r="U23" s="220">
        <f aca="true" t="shared" si="5" ref="U23:U82">IF(ISERROR(S23*J23*K23),0,S23*J23*K23)</f>
        <v>0</v>
      </c>
      <c r="V23" s="220">
        <f aca="true" t="shared" si="6" ref="V23:V82">IF(ISERROR(S23*K23),0,S23*K23)</f>
        <v>0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ENCSPX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45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Hildenbrandia sp.</v>
      </c>
      <c r="E24" s="228" t="e">
        <f>IF(D24="",,VLOOKUP(D24,D$22:D23,1,0))</f>
        <v>#N/A</v>
      </c>
      <c r="F24" s="229">
        <f t="shared" si="0"/>
        <v>0.0085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Hildenbrandia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1157</v>
      </c>
      <c r="R24" s="219">
        <f t="shared" si="2"/>
        <v>0.0085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HILSPX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53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Paralemanea sp.</v>
      </c>
      <c r="E25" s="228" t="e">
        <f>IF(D25="",,VLOOKUP(D25,D$22:D24,1,0))</f>
        <v>#N/A</v>
      </c>
      <c r="F25" s="229">
        <f t="shared" si="0"/>
        <v>0.0085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Paralemanea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31566</v>
      </c>
      <c r="R25" s="219">
        <f t="shared" si="2"/>
        <v>0.0085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PAASPX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87</v>
      </c>
    </row>
    <row r="26" spans="1:26" ht="12.75">
      <c r="A26" s="224" t="s">
        <v>16</v>
      </c>
      <c r="B26" s="225">
        <v>0.21000000000000002</v>
      </c>
      <c r="C26" s="226">
        <v>0.04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Phormidium sp.</v>
      </c>
      <c r="E26" s="228" t="e">
        <f>IF(D26="",,VLOOKUP(D26,D$22:D25,1,0))</f>
        <v>#N/A</v>
      </c>
      <c r="F26" s="229">
        <f t="shared" si="0"/>
        <v>0.18450000000000003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Phormidium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6414</v>
      </c>
      <c r="R26" s="219">
        <f t="shared" si="2"/>
        <v>0.18450000000000003</v>
      </c>
      <c r="S26" s="220">
        <f t="shared" si="3"/>
        <v>2</v>
      </c>
      <c r="T26" s="220">
        <f t="shared" si="4"/>
        <v>26</v>
      </c>
      <c r="U26" s="220">
        <f t="shared" si="5"/>
        <v>52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PHOSPX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88</v>
      </c>
    </row>
    <row r="27" spans="1:26" ht="12.75">
      <c r="A27" s="224" t="s">
        <v>84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Chiloscyphus polyanthos</v>
      </c>
      <c r="E27" s="228" t="e">
        <f>IF(D27="",,VLOOKUP(D27,D$22:D26,1,0))</f>
        <v>#N/A</v>
      </c>
      <c r="F27" s="229">
        <f t="shared" si="0"/>
        <v>0.0085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BRh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4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Chiloscyphus polyanthos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1186</v>
      </c>
      <c r="R27" s="219">
        <f t="shared" si="2"/>
        <v>0.0085</v>
      </c>
      <c r="S27" s="220">
        <f t="shared" si="3"/>
        <v>1</v>
      </c>
      <c r="T27" s="220">
        <f t="shared" si="4"/>
        <v>15</v>
      </c>
      <c r="U27" s="220">
        <f t="shared" si="5"/>
        <v>30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CHIPOL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137</v>
      </c>
    </row>
    <row r="28" spans="1:26" ht="12.75">
      <c r="A28" s="224" t="s">
        <v>85</v>
      </c>
      <c r="B28" s="225">
        <v>0.05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Hygroamblystegium fluviatile </v>
      </c>
      <c r="E28" s="228" t="e">
        <f>IF(D28="",,VLOOKUP(D28,D$22:D27,1,0))</f>
        <v>#N/A</v>
      </c>
      <c r="F28" s="229">
        <f t="shared" si="0"/>
        <v>0.0425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11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Hygroamblystegium fluviatile 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1237</v>
      </c>
      <c r="R28" s="219">
        <f t="shared" si="2"/>
        <v>0.0425</v>
      </c>
      <c r="S28" s="220">
        <f t="shared" si="3"/>
        <v>1</v>
      </c>
      <c r="T28" s="220">
        <f t="shared" si="4"/>
        <v>11</v>
      </c>
      <c r="U28" s="220">
        <f t="shared" si="5"/>
        <v>22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HYAFLU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281</v>
      </c>
    </row>
    <row r="29" spans="1:26" ht="12.75">
      <c r="A29" s="224" t="s">
        <v>86</v>
      </c>
      <c r="B29" s="225">
        <v>15.02</v>
      </c>
      <c r="C29" s="226">
        <v>1.01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Rhynchostegium riparioides</v>
      </c>
      <c r="E29" s="228" t="e">
        <f>IF(D29="",,VLOOKUP(D29,D$22:D28,1,0))</f>
        <v>#N/A</v>
      </c>
      <c r="F29" s="229">
        <f t="shared" si="0"/>
        <v>12.918500000000002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12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Rhynchostegium riparioides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31691</v>
      </c>
      <c r="R29" s="219">
        <f t="shared" si="2"/>
        <v>12.918500000000002</v>
      </c>
      <c r="S29" s="220">
        <f t="shared" si="3"/>
        <v>4</v>
      </c>
      <c r="T29" s="220">
        <f t="shared" si="4"/>
        <v>48</v>
      </c>
      <c r="U29" s="220">
        <f t="shared" si="5"/>
        <v>48</v>
      </c>
      <c r="V29" s="236">
        <f t="shared" si="6"/>
        <v>4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RHYRIP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345</v>
      </c>
    </row>
    <row r="30" spans="1:26" ht="12.75">
      <c r="A30" s="224" t="s">
        <v>87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Phalaris arundinacea</v>
      </c>
      <c r="E30" s="228" t="e">
        <f>IF(D30="",,VLOOKUP(D30,D$22:D29,1,0))</f>
        <v>#N/A</v>
      </c>
      <c r="F30" s="229">
        <f t="shared" si="0"/>
        <v>0.0015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PHe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8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Phalaris arundinacea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1577</v>
      </c>
      <c r="R30" s="219">
        <f t="shared" si="2"/>
        <v>0.0015</v>
      </c>
      <c r="S30" s="220">
        <f t="shared" si="3"/>
        <v>1</v>
      </c>
      <c r="T30" s="220">
        <f t="shared" si="4"/>
        <v>10</v>
      </c>
      <c r="U30" s="220">
        <f t="shared" si="5"/>
        <v>10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PHAARU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707</v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13.216500000000002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15</v>
      </c>
      <c r="W83" s="220"/>
      <c r="X83" s="258"/>
      <c r="Y83" s="258"/>
      <c r="Z83" s="259"/>
    </row>
    <row r="84" spans="1:26" ht="12.75" hidden="1">
      <c r="A84" s="253" t="str">
        <f>A3</f>
        <v>ROCHEFORT</v>
      </c>
      <c r="B84" s="187" t="str">
        <f>C3</f>
        <v>ROCHEFORT AUX ARDILLATS</v>
      </c>
      <c r="C84" s="260" t="str">
        <f>A4</f>
        <v>(Date)</v>
      </c>
      <c r="D84" s="261">
        <f>IF(OR(ISERROR(SUM($U$23:$U$82)/SUM($V$23:$V$82)),F7&lt;&gt;100),-1,SUM($U$23:$U$82)/SUM($V$23:$V$82))</f>
        <v>12.8</v>
      </c>
      <c r="E84" s="262">
        <f>O13</f>
        <v>8</v>
      </c>
      <c r="F84" s="187">
        <f>O14</f>
        <v>6</v>
      </c>
      <c r="G84" s="187">
        <f>O15</f>
        <v>2</v>
      </c>
      <c r="H84" s="187">
        <f>O16</f>
        <v>4</v>
      </c>
      <c r="I84" s="187">
        <f>O17</f>
        <v>0</v>
      </c>
      <c r="J84" s="263">
        <f>O8</f>
        <v>12.666666666666666</v>
      </c>
      <c r="K84" s="264">
        <f>O9</f>
        <v>1.8856180831641267</v>
      </c>
      <c r="L84" s="265">
        <f>O10</f>
        <v>10</v>
      </c>
      <c r="M84" s="265">
        <f>O11</f>
        <v>15</v>
      </c>
      <c r="N84" s="264">
        <f>P8</f>
        <v>1.6666666666666667</v>
      </c>
      <c r="O84" s="264">
        <f>P9</f>
        <v>0.4714045207910317</v>
      </c>
      <c r="P84" s="265">
        <f>P10</f>
        <v>1</v>
      </c>
      <c r="Q84" s="265">
        <f>P11</f>
        <v>2</v>
      </c>
      <c r="R84" s="265">
        <f>F21</f>
        <v>13.2165</v>
      </c>
      <c r="S84" s="265">
        <f>L11</f>
        <v>0</v>
      </c>
      <c r="T84" s="265">
        <f>L12</f>
        <v>4</v>
      </c>
      <c r="U84" s="265">
        <f>L13</f>
        <v>3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52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12.727272727272727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2016-04-01T07:33:57Z</dcterms:created>
  <dcterms:modified xsi:type="dcterms:W3CDTF">2016-04-01T07:33:59Z</dcterms:modified>
  <cp:category/>
  <cp:version/>
  <cp:contentType/>
  <cp:contentStatus/>
</cp:coreProperties>
</file>