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'[1]'!$H$1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<sst xmlns="http://schemas.openxmlformats.org/spreadsheetml/2006/main" count="114" uniqueCount="109">
  <si>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</si>
  <si>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</si>
  <si>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</si>
  <si>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LBOURGOIN LISEBE</t>
  </si>
  <si>
    <t xml:space="preserve">conforme AFNOR T90-395 oct. 2003</t>
  </si>
  <si>
    <t xml:space="preserve">SAONE</t>
  </si>
  <si>
    <t xml:space="preserve">SAONE A LYON</t>
  </si>
  <si>
    <t xml:space="preserve">06059500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</si>
  <si>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</si>
  <si>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</si>
  <si>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</si>
  <si>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</si>
  <si>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</si>
  <si>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</si>
  <si>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</si>
  <si>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</si>
  <si>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NUPLUT</t>
  </si>
  <si>
    <t xml:space="preserve">Faciès dominant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</si>
  <si>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</si>
  <si>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</si>
  <si>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</si>
  <si>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</si>
  <si>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</si>
  <si>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</si>
  <si>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</si>
  <si>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</si>
  <si>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</si>
  <si>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</si>
  <si>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</si>
  <si>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</si>
  <si>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</si>
  <si>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</si>
  <si>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</si>
  <si>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</si>
  <si>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</si>
  <si>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</si>
  <si>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</si>
  <si>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</si>
  <si>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</si>
  <si>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</si>
  <si>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</si>
  <si>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</si>
  <si>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</si>
  <si>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</si>
  <si>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</si>
  <si>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</si>
  <si>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</si>
  <si>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</si>
  <si>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</si>
  <si>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</si>
  <si>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</si>
  <si>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</si>
  <si>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</si>
  <si>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</si>
  <si>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</si>
  <si>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</si>
  <si>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</si>
  <si>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</si>
  <si>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</si>
  <si>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</si>
  <si>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</si>
  <si>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</si>
  <si>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</si>
  <si>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</si>
  <si>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</si>
  <si>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</si>
  <si>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</si>
  <si>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</si>
  <si>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</si>
  <si>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</si>
  <si>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</si>
  <si>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</si>
  <si>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</si>
  <si>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</si>
  <si>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</si>
  <si>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</si>
  <si>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</si>
  <si>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</si>
  <si>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OEDSPX</t>
  </si>
  <si>
    <t xml:space="preserve">PHOSPX</t>
  </si>
  <si>
    <t xml:space="preserve">RHISPX</t>
  </si>
  <si>
    <t xml:space="preserve">SPISPX</t>
  </si>
  <si>
    <t xml:space="preserve">VAUSPX</t>
  </si>
  <si>
    <t xml:space="preserve">AMBFLU</t>
  </si>
  <si>
    <t xml:space="preserve">OCTFON</t>
  </si>
  <si>
    <t xml:space="preserve">RHYRIP</t>
  </si>
  <si>
    <t xml:space="preserve">CERDEM</t>
  </si>
  <si>
    <t xml:space="preserve">MYRSPI</t>
  </si>
  <si>
    <t xml:space="preserve">NAJMIN</t>
  </si>
  <si>
    <t xml:space="preserve">POTPEC</t>
  </si>
  <si>
    <t xml:space="preserve">POTPER</t>
  </si>
  <si>
    <t xml:space="preserve">VALSPI</t>
  </si>
  <si>
    <t xml:space="preserve">CARACU</t>
  </si>
  <si>
    <t xml:space="preserve">LYSVUL</t>
  </si>
  <si>
    <t xml:space="preserve">LYTSAL</t>
  </si>
  <si>
    <t xml:space="preserve">BIDSPX</t>
  </si>
  <si>
    <t xml:space="preserve">RORISL</t>
  </si>
  <si>
    <t xml:space="preserve">newcod</t>
  </si>
  <si>
    <t xml:space="preserve">Salix alba</t>
  </si>
  <si>
    <t xml:space="preserve">Solidago gigantea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</si>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</sst>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SALYO_02-09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41519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7.27027027027027</v>
      </c>
      <c r="M5" s="53"/>
      <c r="N5" s="54" t="s">
        <v>16</v>
      </c>
      <c r="O5" s="55" t="n">
        <v>7.06060606060606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/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/>
      <c r="C7" s="67" t="n">
        <v>100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7" t="s">
        <v>24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25</v>
      </c>
      <c r="B8" s="79"/>
      <c r="C8" s="79"/>
      <c r="D8" s="68"/>
      <c r="E8" s="68"/>
      <c r="F8" s="80" t="s">
        <v>26</v>
      </c>
      <c r="G8" s="81"/>
      <c r="H8" s="82"/>
      <c r="I8" s="71"/>
      <c r="J8" s="72"/>
      <c r="K8" s="73"/>
      <c r="L8" s="74"/>
      <c r="M8" s="83" t="s">
        <v>27</v>
      </c>
      <c r="N8" s="84" t="n">
        <f aca="false">IF(ISERROR(AVERAGE(I23:I82)),"     -",AVERAGE(I23:I82))</f>
        <v>7.5</v>
      </c>
      <c r="O8" s="84" t="n">
        <f aca="false">IF(ISERROR(AVERAGE(J23:J82)),"      -",AVERAGE(J23:J82))</f>
        <v>1.8125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6"/>
      <c r="C9" s="87" t="n">
        <v>21.46</v>
      </c>
      <c r="D9" s="88"/>
      <c r="E9" s="88"/>
      <c r="F9" s="89" t="n">
        <f aca="false">($B9*$B$7+$C9*$C$7)/100</f>
        <v>21.46</v>
      </c>
      <c r="G9" s="90"/>
      <c r="H9" s="91"/>
      <c r="I9" s="92"/>
      <c r="J9" s="93"/>
      <c r="K9" s="73"/>
      <c r="L9" s="94"/>
      <c r="M9" s="83" t="s">
        <v>29</v>
      </c>
      <c r="N9" s="84" t="n">
        <f aca="false">IF(ISERROR(STDEVP(I23:I82)),"     -",STDEVP(I23:I82))</f>
        <v>2.97909382195325</v>
      </c>
      <c r="O9" s="84" t="n">
        <f aca="false">IF(ISERROR(STDEVP(J23:J82)),"      -",STDEVP(J23:J82))</f>
        <v>0.634305722818264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30</v>
      </c>
      <c r="B10" s="98"/>
      <c r="C10" s="99" t="s">
        <v>31</v>
      </c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2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13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/>
      <c r="C12" s="119" t="n">
        <v>0.47</v>
      </c>
      <c r="D12" s="111"/>
      <c r="E12" s="111"/>
      <c r="F12" s="112" t="n">
        <f aca="false">($B12*$B$7+$C12*$C$7)/100</f>
        <v>0.47</v>
      </c>
      <c r="G12" s="120"/>
      <c r="H12" s="68"/>
      <c r="I12" s="121" t="s">
        <v>38</v>
      </c>
      <c r="J12" s="121"/>
      <c r="K12" s="115" t="n">
        <f aca="false">COUNTIF($G$23:$G$82,"=ALG")</f>
        <v>6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/>
      <c r="C13" s="119" t="n">
        <v>0.01</v>
      </c>
      <c r="D13" s="111"/>
      <c r="E13" s="111"/>
      <c r="F13" s="112" t="n">
        <f aca="false">($B13*$B$7+$C13*$C$7)/100</f>
        <v>0.01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3</v>
      </c>
      <c r="L13" s="116"/>
      <c r="M13" s="127" t="s">
        <v>41</v>
      </c>
      <c r="N13" s="128" t="n">
        <f aca="false">COUNTIF(F23:F82,"&gt;0")</f>
        <v>23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16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 t="n">
        <v>20.98</v>
      </c>
      <c r="D15" s="111"/>
      <c r="E15" s="111"/>
      <c r="F15" s="112" t="n">
        <f aca="false">($B15*$B$7+$C15*$C$7)/100</f>
        <v>20.98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12</v>
      </c>
      <c r="L15" s="116"/>
      <c r="M15" s="137" t="s">
        <v>47</v>
      </c>
      <c r="N15" s="138" t="n">
        <f aca="false">COUNTIF(J23:J82,"=1")</f>
        <v>5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 t="n">
        <v>20.43</v>
      </c>
      <c r="D16" s="140"/>
      <c r="E16" s="140"/>
      <c r="F16" s="141"/>
      <c r="G16" s="141" t="n">
        <f aca="false">($B16*$B$7+$C16*$C$7)/100</f>
        <v>20.43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9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/>
      <c r="C17" s="119" t="n">
        <v>1.02</v>
      </c>
      <c r="D17" s="111"/>
      <c r="E17" s="111"/>
      <c r="F17" s="143"/>
      <c r="G17" s="112" t="n">
        <f aca="false">($B17*$B$7+$C17*$C$7)/100</f>
        <v>1.02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2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 t="n">
        <v>0.01</v>
      </c>
      <c r="D18" s="111"/>
      <c r="E18" s="147" t="s">
        <v>53</v>
      </c>
      <c r="F18" s="143"/>
      <c r="G18" s="112" t="n">
        <f aca="false">($B18*$B$7+$C18*$C$7)/100</f>
        <v>0.01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21.46</v>
      </c>
      <c r="G19" s="156" t="n">
        <f aca="false">SUM(G16:G18)</f>
        <v>21.46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0</v>
      </c>
      <c r="C20" s="166" t="n">
        <f aca="false">SUM(C23:C82)</f>
        <v>21.4561368421053</v>
      </c>
      <c r="D20" s="167"/>
      <c r="E20" s="168" t="s">
        <v>53</v>
      </c>
      <c r="F20" s="169" t="n">
        <f aca="false">($B20*$B$7+$C20*$C$7)/100</f>
        <v>21.4561368421053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0</v>
      </c>
      <c r="C21" s="179" t="n">
        <f aca="false">C20*C7/100</f>
        <v>21.4561368421053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21.4561368421053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2.75" hidden="false" customHeight="false" outlineLevel="0" collapsed="false">
      <c r="A23" s="204" t="s">
        <v>77</v>
      </c>
      <c r="B23" s="205" t="n">
        <v>0</v>
      </c>
      <c r="C23" s="206" t="n">
        <v>0.306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0.306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0.306</v>
      </c>
      <c r="R23" s="217" t="n">
        <f aca="false">IF(OR(ISTEXT(H23),Q23=0),"",IF(Q23&lt;0.1,1,IF(Q23&lt;1,2,IF(Q23&lt;10,3,IF(Q23&lt;50,4,IF(Q23&gt;=50,5,""))))))</f>
        <v>2</v>
      </c>
      <c r="S23" s="217" t="n">
        <f aca="false">IF(ISERROR(R23*I23),0,R23*I23)</f>
        <v>12</v>
      </c>
      <c r="T23" s="217" t="n">
        <f aca="false">IF(ISERROR(R23*I23*J23),0,R23*I23*J23)</f>
        <v>12</v>
      </c>
      <c r="U23" s="217" t="n">
        <f aca="false">IF(ISERROR(R23*J23),0,R23*J23)</f>
        <v>2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05" t="n">
        <v>0</v>
      </c>
      <c r="C24" s="224" t="n">
        <v>0.0002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Oedogonium sp.</v>
      </c>
      <c r="E24" s="225" t="e">
        <f aca="false">IF(D24="",0,VLOOKUP(D24,D$22:D23,1,0))</f>
        <v>#N/A</v>
      </c>
      <c r="F24" s="226" t="n">
        <f aca="false">($B24*$B$7+$C24*$C$7)/100</f>
        <v>0.0002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6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Oedogonium sp.</v>
      </c>
      <c r="L24" s="227"/>
      <c r="M24" s="227"/>
      <c r="N24" s="227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1134</v>
      </c>
      <c r="Q24" s="216" t="n">
        <f aca="false">IF(ISTEXT(H24),"",(B24*$B$7/100)+(C24*$C$7/100))</f>
        <v>0.0002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6</v>
      </c>
      <c r="T24" s="217" t="n">
        <f aca="false">IF(ISERROR(R24*I24*J24),0,R24*I24*J24)</f>
        <v>12</v>
      </c>
      <c r="U24" s="228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OEDSPX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55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05" t="n">
        <v>0</v>
      </c>
      <c r="C25" s="224" t="n">
        <v>0.052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Phormidium sp.</v>
      </c>
      <c r="E25" s="225" t="e">
        <f aca="false">IF(D25="",0,VLOOKUP(D25,D$22:D24,1,0))</f>
        <v>#N/A</v>
      </c>
      <c r="F25" s="226" t="n">
        <f aca="false">($B25*$B$7+$C25*$C$7)/100</f>
        <v>0.052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13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Phormidium sp.</v>
      </c>
      <c r="L25" s="227"/>
      <c r="M25" s="227"/>
      <c r="N25" s="227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6414</v>
      </c>
      <c r="Q25" s="216" t="n">
        <f aca="false">IF(ISTEXT(H25),"",(B25*$B$7/100)+(C25*$C$7/100))</f>
        <v>0.052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13</v>
      </c>
      <c r="T25" s="217" t="n">
        <f aca="false">IF(ISERROR(R25*I25*J25),0,R25*I25*J25)</f>
        <v>26</v>
      </c>
      <c r="U25" s="228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PHOSPX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57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05" t="n">
        <v>0</v>
      </c>
      <c r="C26" s="224" t="n">
        <v>0.1092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Rhizoclonium sp.</v>
      </c>
      <c r="E26" s="225" t="e">
        <f aca="false">IF(D26="",0,VLOOKUP(D26,D$22:D25,1,0))</f>
        <v>#N/A</v>
      </c>
      <c r="F26" s="226" t="n">
        <f aca="false">($B26*$B$7+$C26*$C$7)/100</f>
        <v>0.1092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4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Rhizoclonium sp.</v>
      </c>
      <c r="L26" s="227"/>
      <c r="M26" s="227"/>
      <c r="N26" s="227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1125</v>
      </c>
      <c r="Q26" s="216" t="n">
        <f aca="false">IF(ISTEXT(H26),"",(B26*$B$7/100)+(C26*$C$7/100))</f>
        <v>0.1092</v>
      </c>
      <c r="R26" s="217" t="n">
        <f aca="false">IF(OR(ISTEXT(H26),Q26=0),"",IF(Q26&lt;0.1,1,IF(Q26&lt;1,2,IF(Q26&lt;10,3,IF(Q26&lt;50,4,IF(Q26&gt;=50,5,""))))))</f>
        <v>2</v>
      </c>
      <c r="S26" s="217" t="n">
        <f aca="false">IF(ISERROR(R26*I26),0,R26*I26)</f>
        <v>8</v>
      </c>
      <c r="T26" s="217" t="n">
        <f aca="false">IF(ISERROR(R26*I26*J26),0,R26*I26*J26)</f>
        <v>16</v>
      </c>
      <c r="U26" s="228" t="n">
        <f aca="false">IF(ISERROR(R26*J26),0,R26*J26)</f>
        <v>4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RHISPX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62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05" t="n">
        <v>0</v>
      </c>
      <c r="C27" s="224" t="n">
        <v>0.002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Spirogyra sp.</v>
      </c>
      <c r="E27" s="225" t="e">
        <f aca="false">IF(D27="",0,VLOOKUP(D27,D$22:D26,1,0))</f>
        <v>#N/A</v>
      </c>
      <c r="F27" s="226" t="n">
        <f aca="false">($B27*$B$7+$C27*$C$7)/100</f>
        <v>0.002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10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Spirogyra sp.</v>
      </c>
      <c r="L27" s="227"/>
      <c r="M27" s="227"/>
      <c r="N27" s="227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1147</v>
      </c>
      <c r="Q27" s="216" t="n">
        <f aca="false">IF(ISTEXT(H27),"",(B27*$B$7/100)+(C27*$C$7/100))</f>
        <v>0.002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10</v>
      </c>
      <c r="T27" s="217" t="n">
        <f aca="false">IF(ISERROR(R27*I27*J27),0,R27*I27*J27)</f>
        <v>10</v>
      </c>
      <c r="U27" s="228" t="n">
        <f aca="false">IF(ISERROR(R27*J27),0,R27*J27)</f>
        <v>1</v>
      </c>
      <c r="V27" s="218" t="str">
        <f aca="false">IF(AND(A27="",F27=0),"",IF(F27=0,"Il manque le(s) % de rec. !",""))</f>
        <v/>
      </c>
      <c r="W27" s="229"/>
      <c r="Y27" s="220" t="str">
        <f aca="false">IF(A27="new.cod","NEWCOD",IF(AND((Z27=""),ISTEXT(A27)),A27,IF(Z27="","",INDEX('[1]liste reference'!$A$8:$A$904,Z27))))</f>
        <v>SPISPX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69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05" t="n">
        <v>0</v>
      </c>
      <c r="C28" s="224" t="n">
        <v>0.002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Vaucheria sp.</v>
      </c>
      <c r="E28" s="225" t="e">
        <f aca="false">IF(D28="",0,VLOOKUP(D28,D$22:D27,1,0))</f>
        <v>#N/A</v>
      </c>
      <c r="F28" s="226" t="n">
        <f aca="false">($B28*$B$7+$C28*$C$7)/100</f>
        <v>0.002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4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Vaucheria sp.</v>
      </c>
      <c r="L28" s="227"/>
      <c r="M28" s="227"/>
      <c r="N28" s="227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6193</v>
      </c>
      <c r="Q28" s="216" t="n">
        <f aca="false">IF(ISTEXT(H28),"",(B28*$B$7/100)+(C28*$C$7/100))</f>
        <v>0.002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4</v>
      </c>
      <c r="T28" s="217" t="n">
        <f aca="false">IF(ISERROR(R28*I28*J28),0,R28*I28*J28)</f>
        <v>4</v>
      </c>
      <c r="U28" s="228" t="n">
        <f aca="false">IF(ISERROR(R28*J28),0,R28*J28)</f>
        <v>1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VAUSPX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82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05" t="n">
        <v>0</v>
      </c>
      <c r="C29" s="224" t="n">
        <v>0.001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Amblystegium fluviatile</v>
      </c>
      <c r="E29" s="225" t="e">
        <f aca="false">IF(D29="",0,VLOOKUP(D29,D$22:D28,1,0))</f>
        <v>#N/A</v>
      </c>
      <c r="F29" s="226" t="n">
        <f aca="false">($B29*$B$7+$C29*$C$7)/100</f>
        <v>0.001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11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Amblystegium fluviatile</v>
      </c>
      <c r="L29" s="227"/>
      <c r="M29" s="227"/>
      <c r="N29" s="227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1223</v>
      </c>
      <c r="Q29" s="216" t="n">
        <f aca="false">IF(ISTEXT(H29),"",(B29*$B$7/100)+(C29*$C$7/100))</f>
        <v>0.001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11</v>
      </c>
      <c r="T29" s="217" t="n">
        <f aca="false">IF(ISERROR(R29*I29*J29),0,R29*I29*J29)</f>
        <v>22</v>
      </c>
      <c r="U29" s="228" t="n">
        <f aca="false">IF(ISERROR(R29*J29),0,R29*J29)</f>
        <v>2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AMBFLU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147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05" t="n">
        <v>0</v>
      </c>
      <c r="C30" s="224" t="n">
        <v>0.004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Octodiceras fontanum</v>
      </c>
      <c r="E30" s="225" t="e">
        <f aca="false">IF(D30="",0,VLOOKUP(D30,D$22:D29,1,0))</f>
        <v>#N/A</v>
      </c>
      <c r="F30" s="226" t="n">
        <f aca="false">($B30*$B$7+$C30*$C$7)/100</f>
        <v>0.004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7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3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Octodiceras fontanum</v>
      </c>
      <c r="L30" s="227"/>
      <c r="M30" s="227"/>
      <c r="N30" s="227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1303</v>
      </c>
      <c r="Q30" s="216" t="n">
        <f aca="false">IF(ISTEXT(H30),"",(B30*$B$7/100)+(C30*$C$7/100))</f>
        <v>0.004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7</v>
      </c>
      <c r="T30" s="217" t="n">
        <f aca="false">IF(ISERROR(R30*I30*J30),0,R30*I30*J30)</f>
        <v>21</v>
      </c>
      <c r="U30" s="228" t="n">
        <f aca="false">IF(ISERROR(R30*J30),0,R30*J30)</f>
        <v>3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OCTFON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228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05" t="n">
        <v>0</v>
      </c>
      <c r="C31" s="224" t="n">
        <v>0.001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Rhynchostegium riparioides</v>
      </c>
      <c r="E31" s="225" t="e">
        <f aca="false">IF(D31="",0,VLOOKUP(D31,D$22:D30,1,0))</f>
        <v>#N/A</v>
      </c>
      <c r="F31" s="226" t="n">
        <f aca="false">($B31*$B$7+$C31*$C$7)/100</f>
        <v>0.001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BRm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5</v>
      </c>
      <c r="I31" s="211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12</v>
      </c>
      <c r="J31" s="211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1</v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Rhynchostegium riparioides</v>
      </c>
      <c r="L31" s="227"/>
      <c r="M31" s="227"/>
      <c r="N31" s="227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1268</v>
      </c>
      <c r="Q31" s="216" t="n">
        <f aca="false">IF(ISTEXT(H31),"",(B31*$B$7/100)+(C31*$C$7/100))</f>
        <v>0.001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12</v>
      </c>
      <c r="T31" s="217" t="n">
        <f aca="false">IF(ISERROR(R31*I31*J31),0,R31*I31*J31)</f>
        <v>12</v>
      </c>
      <c r="U31" s="228" t="n">
        <f aca="false">IF(ISERROR(R31*J31),0,R31*J31)</f>
        <v>1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RHYRIP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252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86</v>
      </c>
      <c r="B32" s="205" t="n">
        <v>0</v>
      </c>
      <c r="C32" s="224" t="n">
        <v>0.0521052631578947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Ceratophyllum demersum</v>
      </c>
      <c r="E32" s="225" t="e">
        <f aca="false">IF(D32="",0,VLOOKUP(D32,D$22:D31,1,0))</f>
        <v>#N/A</v>
      </c>
      <c r="F32" s="226" t="n">
        <f aca="false">($B32*$B$7+$C32*$C$7)/100</f>
        <v>0.0521052631578947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PHy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7</v>
      </c>
      <c r="I32" s="211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5</v>
      </c>
      <c r="J32" s="211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2</v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Ceratophyllum demersum</v>
      </c>
      <c r="L32" s="227"/>
      <c r="M32" s="227"/>
      <c r="N32" s="227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1717</v>
      </c>
      <c r="Q32" s="216" t="n">
        <f aca="false">IF(ISTEXT(H32),"",(B32*$B$7/100)+(C32*$C$7/100))</f>
        <v>0.0521052631578947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5</v>
      </c>
      <c r="T32" s="217" t="n">
        <f aca="false">IF(ISERROR(R32*I32*J32),0,R32*I32*J32)</f>
        <v>10</v>
      </c>
      <c r="U32" s="228" t="n">
        <f aca="false">IF(ISERROR(R32*J32),0,R32*J32)</f>
        <v>2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CERDEM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330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87</v>
      </c>
      <c r="B33" s="205" t="n">
        <v>0</v>
      </c>
      <c r="C33" s="224" t="n">
        <v>0.398947368421053</v>
      </c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Myriophyllum spicatum</v>
      </c>
      <c r="E33" s="225" t="e">
        <f aca="false">IF(D33="",0,VLOOKUP(D33,D$22:D32,1,0))</f>
        <v>#N/A</v>
      </c>
      <c r="F33" s="226" t="n">
        <f aca="false">($B33*$B$7+$C33*$C$7)/100</f>
        <v>0.398947368421053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PHy</v>
      </c>
      <c r="H33" s="210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7</v>
      </c>
      <c r="I33" s="211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8</v>
      </c>
      <c r="J33" s="211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2</v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Myriophyllum spicatum</v>
      </c>
      <c r="L33" s="227"/>
      <c r="M33" s="227"/>
      <c r="N33" s="227"/>
      <c r="O33" s="214"/>
      <c r="P33" s="215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1778</v>
      </c>
      <c r="Q33" s="216" t="n">
        <f aca="false">IF(ISTEXT(H33),"",(B33*$B$7/100)+(C33*$C$7/100))</f>
        <v>0.398947368421053</v>
      </c>
      <c r="R33" s="217" t="n">
        <f aca="false">IF(OR(ISTEXT(H33),Q33=0),"",IF(Q33&lt;0.1,1,IF(Q33&lt;1,2,IF(Q33&lt;10,3,IF(Q33&lt;50,4,IF(Q33&gt;=50,5,""))))))</f>
        <v>2</v>
      </c>
      <c r="S33" s="217" t="n">
        <f aca="false">IF(ISERROR(R33*I33),0,R33*I33)</f>
        <v>16</v>
      </c>
      <c r="T33" s="217" t="n">
        <f aca="false">IF(ISERROR(R33*I33*J33),0,R33*I33*J33)</f>
        <v>32</v>
      </c>
      <c r="U33" s="228" t="n">
        <f aca="false">IF(ISERROR(R33*J33),0,R33*J33)</f>
        <v>4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>MYRSPI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373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88</v>
      </c>
      <c r="B34" s="205" t="n">
        <v>0</v>
      </c>
      <c r="C34" s="224" t="n">
        <v>0.0421052631578947</v>
      </c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Najas minor</v>
      </c>
      <c r="E34" s="225" t="e">
        <f aca="false">IF(D34="",0,VLOOKUP(D34,D$22:D33,1,0))</f>
        <v>#N/A</v>
      </c>
      <c r="F34" s="230" t="n">
        <f aca="false">($B34*$B$7+$C34*$C$7)/100</f>
        <v>0.0421052631578947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PHy</v>
      </c>
      <c r="H34" s="210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7</v>
      </c>
      <c r="I34" s="211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6</v>
      </c>
      <c r="J34" s="211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3</v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Najas minor</v>
      </c>
      <c r="L34" s="227"/>
      <c r="M34" s="227"/>
      <c r="N34" s="227"/>
      <c r="O34" s="214"/>
      <c r="P34" s="215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1836</v>
      </c>
      <c r="Q34" s="216" t="n">
        <f aca="false">IF(ISTEXT(H34),"",(B34*$B$7/100)+(C34*$C$7/100))</f>
        <v>0.0421052631578947</v>
      </c>
      <c r="R34" s="217" t="n">
        <f aca="false">IF(OR(ISTEXT(H34),Q34=0),"",IF(Q34&lt;0.1,1,IF(Q34&lt;1,2,IF(Q34&lt;10,3,IF(Q34&lt;50,4,IF(Q34&gt;=50,5,""))))))</f>
        <v>1</v>
      </c>
      <c r="S34" s="217" t="n">
        <f aca="false">IF(ISERROR(R34*I34),0,R34*I34)</f>
        <v>6</v>
      </c>
      <c r="T34" s="217" t="n">
        <f aca="false">IF(ISERROR(R34*I34*J34),0,R34*I34*J34)</f>
        <v>18</v>
      </c>
      <c r="U34" s="228" t="n">
        <f aca="false">IF(ISERROR(R34*J34),0,R34*J34)</f>
        <v>3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>NAJMIN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383</v>
      </c>
      <c r="AA34" s="221"/>
      <c r="AB34" s="222"/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16</v>
      </c>
      <c r="B35" s="205" t="n">
        <v>0</v>
      </c>
      <c r="C35" s="224" t="n">
        <v>20.4315789473684</v>
      </c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Nuphar lutea</v>
      </c>
      <c r="E35" s="225" t="e">
        <f aca="false">IF(D35="",0,VLOOKUP(D35,D$22:D34,1,0))</f>
        <v>#N/A</v>
      </c>
      <c r="F35" s="230" t="n">
        <f aca="false">($B35*$B$7+$C35*$C$7)/100</f>
        <v>20.4315789473684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PHy</v>
      </c>
      <c r="H35" s="210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7</v>
      </c>
      <c r="I35" s="211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9</v>
      </c>
      <c r="J35" s="211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1</v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Nuphar lutea</v>
      </c>
      <c r="L35" s="227"/>
      <c r="M35" s="227"/>
      <c r="N35" s="227"/>
      <c r="O35" s="214"/>
      <c r="P35" s="215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1839</v>
      </c>
      <c r="Q35" s="216" t="n">
        <f aca="false">IF(ISTEXT(H35),"",(B35*$B$7/100)+(C35*$C$7/100))</f>
        <v>20.4315789473684</v>
      </c>
      <c r="R35" s="217" t="n">
        <f aca="false">IF(OR(ISTEXT(H35),Q35=0),"",IF(Q35&lt;0.1,1,IF(Q35&lt;1,2,IF(Q35&lt;10,3,IF(Q35&lt;50,4,IF(Q35&gt;=50,5,""))))))</f>
        <v>4</v>
      </c>
      <c r="S35" s="217" t="n">
        <f aca="false">IF(ISERROR(R35*I35),0,R35*I35)</f>
        <v>36</v>
      </c>
      <c r="T35" s="217" t="n">
        <f aca="false">IF(ISERROR(R35*I35*J35),0,R35*I35*J35)</f>
        <v>36</v>
      </c>
      <c r="U35" s="228" t="n">
        <f aca="false">IF(ISERROR(R35*J35),0,R35*J35)</f>
        <v>4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>NUPLUT</v>
      </c>
      <c r="Z35" s="10" t="n">
        <f aca="false">IF(ISERROR(MATCH(A35,'[1]liste reference'!$A$8:$A$904,0)),IF(ISERROR(MATCH(A35,'[1]liste reference'!$B$8:$B$904,0)),"",(MATCH(A35,'[1]liste reference'!$B$8:$B$904,0))),(MATCH(A35,'[1]liste reference'!$A$8:$A$904,0)))</f>
        <v>389</v>
      </c>
      <c r="AA35" s="221"/>
      <c r="AB35" s="222"/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 t="s">
        <v>89</v>
      </c>
      <c r="B36" s="205" t="n">
        <v>0</v>
      </c>
      <c r="C36" s="224" t="n">
        <v>0.01</v>
      </c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Potamogeton pectinatus</v>
      </c>
      <c r="E36" s="225" t="e">
        <f aca="false">IF(D36="",0,VLOOKUP(D36,D$22:D35,1,0))</f>
        <v>#N/A</v>
      </c>
      <c r="F36" s="230" t="n">
        <f aca="false">($B36*$B$7+$C36*$C$7)/100</f>
        <v>0.01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PHy</v>
      </c>
      <c r="H36" s="210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7</v>
      </c>
      <c r="I36" s="211" t="n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>2</v>
      </c>
      <c r="J36" s="211" t="n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>2</v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Potamogeton pectinatus</v>
      </c>
      <c r="L36" s="227"/>
      <c r="M36" s="227"/>
      <c r="N36" s="227"/>
      <c r="O36" s="214"/>
      <c r="P36" s="215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1655</v>
      </c>
      <c r="Q36" s="216" t="n">
        <f aca="false">IF(ISTEXT(H36),"",(B36*$B$7/100)+(C36*$C$7/100))</f>
        <v>0.01</v>
      </c>
      <c r="R36" s="217" t="n">
        <f aca="false">IF(OR(ISTEXT(H36),Q36=0),"",IF(Q36&lt;0.1,1,IF(Q36&lt;1,2,IF(Q36&lt;10,3,IF(Q36&lt;50,4,IF(Q36&gt;=50,5,""))))))</f>
        <v>1</v>
      </c>
      <c r="S36" s="217" t="n">
        <f aca="false">IF(ISERROR(R36*I36),0,R36*I36)</f>
        <v>2</v>
      </c>
      <c r="T36" s="217" t="n">
        <f aca="false">IF(ISERROR(R36*I36*J36),0,R36*I36*J36)</f>
        <v>4</v>
      </c>
      <c r="U36" s="228" t="n">
        <f aca="false">IF(ISERROR(R36*J36),0,R36*J36)</f>
        <v>2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>POTPEC</v>
      </c>
      <c r="Z36" s="10" t="n">
        <f aca="false">IF(ISERROR(MATCH(A36,'[1]liste reference'!$A$8:$A$904,0)),IF(ISERROR(MATCH(A36,'[1]liste reference'!$B$8:$B$904,0)),"",(MATCH(A36,'[1]liste reference'!$B$8:$B$904,0))),(MATCH(A36,'[1]liste reference'!$A$8:$A$904,0)))</f>
        <v>421</v>
      </c>
      <c r="AA36" s="221"/>
      <c r="AB36" s="222"/>
      <c r="AC36" s="222"/>
      <c r="BB36" s="10" t="n">
        <f aca="false">IF(A36="","",1)</f>
        <v>1</v>
      </c>
    </row>
    <row r="37" customFormat="false" ht="12.75" hidden="false" customHeight="false" outlineLevel="0" collapsed="false">
      <c r="A37" s="223" t="s">
        <v>90</v>
      </c>
      <c r="B37" s="205" t="n">
        <v>0</v>
      </c>
      <c r="C37" s="224" t="n">
        <v>0.01</v>
      </c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>Potamogeton perfoliatus</v>
      </c>
      <c r="E37" s="225" t="e">
        <f aca="false">IF(D37="",0,VLOOKUP(D37,D$22:D36,1,0))</f>
        <v>#N/A</v>
      </c>
      <c r="F37" s="230" t="n">
        <f aca="false">($B37*$B$7+$C37*$C$7)/100</f>
        <v>0.01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>PHy</v>
      </c>
      <c r="H37" s="210" t="n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7</v>
      </c>
      <c r="I37" s="211" t="n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>9</v>
      </c>
      <c r="J37" s="211" t="n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>2</v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>Potamogeton perfoliatus</v>
      </c>
      <c r="L37" s="227"/>
      <c r="M37" s="227"/>
      <c r="N37" s="227"/>
      <c r="O37" s="214"/>
      <c r="P37" s="215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1656</v>
      </c>
      <c r="Q37" s="216" t="n">
        <f aca="false">IF(ISTEXT(H37),"",(B37*$B$7/100)+(C37*$C$7/100))</f>
        <v>0.01</v>
      </c>
      <c r="R37" s="217" t="n">
        <f aca="false">IF(OR(ISTEXT(H37),Q37=0),"",IF(Q37&lt;0.1,1,IF(Q37&lt;1,2,IF(Q37&lt;10,3,IF(Q37&lt;50,4,IF(Q37&gt;=50,5,""))))))</f>
        <v>1</v>
      </c>
      <c r="S37" s="217" t="n">
        <f aca="false">IF(ISERROR(R37*I37),0,R37*I37)</f>
        <v>9</v>
      </c>
      <c r="T37" s="217" t="n">
        <f aca="false">IF(ISERROR(R37*I37*J37),0,R37*I37*J37)</f>
        <v>18</v>
      </c>
      <c r="U37" s="228" t="n">
        <f aca="false">IF(ISERROR(R37*J37),0,R37*J37)</f>
        <v>2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>POTPER</v>
      </c>
      <c r="Z37" s="10" t="n">
        <f aca="false">IF(ISERROR(MATCH(A37,'[1]liste reference'!$A$8:$A$904,0)),IF(ISERROR(MATCH(A37,'[1]liste reference'!$B$8:$B$904,0)),"",(MATCH(A37,'[1]liste reference'!$B$8:$B$904,0))),(MATCH(A37,'[1]liste reference'!$A$8:$A$904,0)))</f>
        <v>422</v>
      </c>
      <c r="AA37" s="221"/>
      <c r="AB37" s="222"/>
      <c r="AC37" s="222"/>
      <c r="BB37" s="10" t="n">
        <f aca="false">IF(A37="","",1)</f>
        <v>1</v>
      </c>
    </row>
    <row r="38" customFormat="false" ht="12.75" hidden="false" customHeight="false" outlineLevel="0" collapsed="false">
      <c r="A38" s="223" t="s">
        <v>91</v>
      </c>
      <c r="B38" s="205" t="n">
        <v>0</v>
      </c>
      <c r="C38" s="224" t="n">
        <v>0.02</v>
      </c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>Vallisneria spiralis</v>
      </c>
      <c r="E38" s="225" t="e">
        <f aca="false">IF(D38="",0,VLOOKUP(D38,D$22:D37,1,0))</f>
        <v>#N/A</v>
      </c>
      <c r="F38" s="230" t="n">
        <f aca="false">($B38*$B$7+$C38*$C$7)/100</f>
        <v>0.02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>PHy</v>
      </c>
      <c r="H38" s="210" t="n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7</v>
      </c>
      <c r="I38" s="211" t="n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>8</v>
      </c>
      <c r="J38" s="211" t="n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>2</v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>Vallisneria spiralis</v>
      </c>
      <c r="L38" s="227"/>
      <c r="M38" s="227"/>
      <c r="N38" s="227"/>
      <c r="O38" s="214"/>
      <c r="P38" s="215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1598</v>
      </c>
      <c r="Q38" s="216" t="n">
        <f aca="false">IF(ISTEXT(H38),"",(B38*$B$7/100)+(C38*$C$7/100))</f>
        <v>0.02</v>
      </c>
      <c r="R38" s="217" t="n">
        <f aca="false">IF(OR(ISTEXT(H38),Q38=0),"",IF(Q38&lt;0.1,1,IF(Q38&lt;1,2,IF(Q38&lt;10,3,IF(Q38&lt;50,4,IF(Q38&gt;=50,5,""))))))</f>
        <v>1</v>
      </c>
      <c r="S38" s="217" t="n">
        <f aca="false">IF(ISERROR(R38*I38),0,R38*I38)</f>
        <v>8</v>
      </c>
      <c r="T38" s="217" t="n">
        <f aca="false">IF(ISERROR(R38*I38*J38),0,R38*I38*J38)</f>
        <v>16</v>
      </c>
      <c r="U38" s="228" t="n">
        <f aca="false">IF(ISERROR(R38*J38),0,R38*J38)</f>
        <v>2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>VALSPI</v>
      </c>
      <c r="Z38" s="10" t="n">
        <f aca="false">IF(ISERROR(MATCH(A38,'[1]liste reference'!$A$8:$A$904,0)),IF(ISERROR(MATCH(A38,'[1]liste reference'!$B$8:$B$904,0)),"",(MATCH(A38,'[1]liste reference'!$B$8:$B$904,0))),(MATCH(A38,'[1]liste reference'!$A$8:$A$904,0)))</f>
        <v>498</v>
      </c>
      <c r="AA38" s="221"/>
      <c r="AB38" s="222"/>
      <c r="AC38" s="222"/>
      <c r="BB38" s="10" t="n">
        <f aca="false">IF(A38="","",1)</f>
        <v>1</v>
      </c>
    </row>
    <row r="39" customFormat="false" ht="12.75" hidden="false" customHeight="false" outlineLevel="0" collapsed="false">
      <c r="A39" s="223" t="s">
        <v>92</v>
      </c>
      <c r="B39" s="205" t="n">
        <v>0</v>
      </c>
      <c r="C39" s="224" t="n">
        <v>0.002</v>
      </c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>Carex acuta</v>
      </c>
      <c r="E39" s="225" t="e">
        <f aca="false">IF(D39="",0,VLOOKUP(D39,D$22:D38,1,0))</f>
        <v>#N/A</v>
      </c>
      <c r="F39" s="230" t="n">
        <f aca="false">($B39*$B$7+$C39*$C$7)/100</f>
        <v>0.002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>PHe</v>
      </c>
      <c r="H39" s="210" t="n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8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>Carex acuta</v>
      </c>
      <c r="L39" s="227"/>
      <c r="M39" s="227"/>
      <c r="N39" s="227"/>
      <c r="O39" s="214"/>
      <c r="P39" s="215" t="n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1467</v>
      </c>
      <c r="Q39" s="216" t="n">
        <f aca="false">IF(ISTEXT(H39),"",(B39*$B$7/100)+(C39*$C$7/100))</f>
        <v>0.002</v>
      </c>
      <c r="R39" s="217" t="n">
        <f aca="false">IF(OR(ISTEXT(H39),Q39=0),"",IF(Q39&lt;0.1,1,IF(Q39&lt;1,2,IF(Q39&lt;10,3,IF(Q39&lt;50,4,IF(Q39&gt;=50,5,""))))))</f>
        <v>1</v>
      </c>
      <c r="S39" s="217" t="n">
        <f aca="false">IF(ISERROR(R39*I39),0,R39*I39)</f>
        <v>0</v>
      </c>
      <c r="T39" s="217" t="n">
        <f aca="false">IF(ISERROR(R39*I39*J39),0,R39*I39*J39)</f>
        <v>0</v>
      </c>
      <c r="U39" s="228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>CARACU</v>
      </c>
      <c r="Z39" s="10" t="n">
        <f aca="false">IF(ISERROR(MATCH(A39,'[1]liste reference'!$A$8:$A$904,0)),IF(ISERROR(MATCH(A39,'[1]liste reference'!$B$8:$B$904,0)),"",(MATCH(A39,'[1]liste reference'!$B$8:$B$904,0))),(MATCH(A39,'[1]liste reference'!$A$8:$A$904,0)))</f>
        <v>536</v>
      </c>
      <c r="AA39" s="221"/>
      <c r="AB39" s="222"/>
      <c r="AC39" s="222"/>
      <c r="BB39" s="10" t="n">
        <f aca="false">IF(A39="","",1)</f>
        <v>1</v>
      </c>
    </row>
    <row r="40" customFormat="false" ht="12.75" hidden="false" customHeight="false" outlineLevel="0" collapsed="false">
      <c r="A40" s="223" t="s">
        <v>93</v>
      </c>
      <c r="B40" s="205" t="n">
        <v>0</v>
      </c>
      <c r="C40" s="224" t="n">
        <v>0.002</v>
      </c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>Lysimachia vulgaris</v>
      </c>
      <c r="E40" s="225" t="e">
        <f aca="false">IF(D40="",0,VLOOKUP(D40,D$22:D39,1,0))</f>
        <v>#N/A</v>
      </c>
      <c r="F40" s="230" t="n">
        <f aca="false">($B40*$B$7+$C40*$C$7)/100</f>
        <v>0.002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>PHe</v>
      </c>
      <c r="H40" s="210" t="n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8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>Lysimachia vulgaris</v>
      </c>
      <c r="L40" s="227"/>
      <c r="M40" s="227"/>
      <c r="N40" s="227"/>
      <c r="O40" s="214"/>
      <c r="P40" s="215" t="n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1887</v>
      </c>
      <c r="Q40" s="216" t="n">
        <f aca="false">IF(ISTEXT(H40),"",(B40*$B$7/100)+(C40*$C$7/100))</f>
        <v>0.002</v>
      </c>
      <c r="R40" s="217" t="n">
        <f aca="false">IF(OR(ISTEXT(H40),Q40=0),"",IF(Q40&lt;0.1,1,IF(Q40&lt;1,2,IF(Q40&lt;10,3,IF(Q40&lt;50,4,IF(Q40&gt;=50,5,""))))))</f>
        <v>1</v>
      </c>
      <c r="S40" s="217" t="n">
        <f aca="false">IF(ISERROR(R40*I40),0,R40*I40)</f>
        <v>0</v>
      </c>
      <c r="T40" s="217" t="n">
        <f aca="false">IF(ISERROR(R40*I40*J40),0,R40*I40*J40)</f>
        <v>0</v>
      </c>
      <c r="U40" s="228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>LYSVUL</v>
      </c>
      <c r="Z40" s="10" t="n">
        <f aca="false">IF(ISERROR(MATCH(A40,'[1]liste reference'!$A$8:$A$904,0)),IF(ISERROR(MATCH(A40,'[1]liste reference'!$B$8:$B$904,0)),"",(MATCH(A40,'[1]liste reference'!$B$8:$B$904,0))),(MATCH(A40,'[1]liste reference'!$A$8:$A$904,0)))</f>
        <v>601</v>
      </c>
      <c r="AA40" s="221"/>
      <c r="AB40" s="222"/>
      <c r="AC40" s="222"/>
      <c r="BB40" s="10" t="n">
        <f aca="false">IF(A40="","",1)</f>
        <v>1</v>
      </c>
    </row>
    <row r="41" customFormat="false" ht="12.75" hidden="false" customHeight="false" outlineLevel="0" collapsed="false">
      <c r="A41" s="223" t="s">
        <v>94</v>
      </c>
      <c r="B41" s="205" t="n">
        <v>0</v>
      </c>
      <c r="C41" s="224" t="n">
        <v>0.002</v>
      </c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>Lythrum salicaria</v>
      </c>
      <c r="E41" s="225" t="e">
        <f aca="false">IF(D41="",0,VLOOKUP(D41,D$22:D40,1,0))</f>
        <v>#N/A</v>
      </c>
      <c r="F41" s="230" t="n">
        <f aca="false">($B41*$B$7+$C41*$C$7)/100</f>
        <v>0.002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>PHe</v>
      </c>
      <c r="H41" s="210" t="n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8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>Lythrum salicaria</v>
      </c>
      <c r="L41" s="227"/>
      <c r="M41" s="227"/>
      <c r="N41" s="227"/>
      <c r="O41" s="214"/>
      <c r="P41" s="215" t="n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>1823</v>
      </c>
      <c r="Q41" s="216" t="n">
        <f aca="false">IF(ISTEXT(H41),"",(B41*$B$7/100)+(C41*$C$7/100))</f>
        <v>0.002</v>
      </c>
      <c r="R41" s="217" t="n">
        <f aca="false">IF(OR(ISTEXT(H41),Q41=0),"",IF(Q41&lt;0.1,1,IF(Q41&lt;1,2,IF(Q41&lt;10,3,IF(Q41&lt;50,4,IF(Q41&gt;=50,5,""))))))</f>
        <v>1</v>
      </c>
      <c r="S41" s="217" t="n">
        <f aca="false">IF(ISERROR(R41*I41),0,R41*I41)</f>
        <v>0</v>
      </c>
      <c r="T41" s="217" t="n">
        <f aca="false">IF(ISERROR(R41*I41*J41),0,R41*I41*J41)</f>
        <v>0</v>
      </c>
      <c r="U41" s="228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>LYTSAL</v>
      </c>
      <c r="Z41" s="10" t="n">
        <f aca="false">IF(ISERROR(MATCH(A41,'[1]liste reference'!$A$8:$A$904,0)),IF(ISERROR(MATCH(A41,'[1]liste reference'!$B$8:$B$904,0)),"",(MATCH(A41,'[1]liste reference'!$B$8:$B$904,0))),(MATCH(A41,'[1]liste reference'!$A$8:$A$904,0)))</f>
        <v>605</v>
      </c>
      <c r="AA41" s="221"/>
      <c r="AB41" s="222"/>
      <c r="AC41" s="222"/>
      <c r="BB41" s="10" t="n">
        <f aca="false">IF(A41="","",1)</f>
        <v>1</v>
      </c>
    </row>
    <row r="42" customFormat="false" ht="12.75" hidden="false" customHeight="false" outlineLevel="0" collapsed="false">
      <c r="A42" s="223" t="s">
        <v>95</v>
      </c>
      <c r="B42" s="205" t="n">
        <v>0</v>
      </c>
      <c r="C42" s="224" t="n">
        <v>0.002</v>
      </c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>Bidens sp.</v>
      </c>
      <c r="E42" s="225" t="e">
        <f aca="false">IF(D42="",0,VLOOKUP(D42,D$22:D41,1,0))</f>
        <v>#N/A</v>
      </c>
      <c r="F42" s="230" t="n">
        <f aca="false">($B42*$B$7+$C42*$C$7)/100</f>
        <v>0.002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>PHg</v>
      </c>
      <c r="H42" s="210" t="n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9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>Bidens sp.</v>
      </c>
      <c r="L42" s="227"/>
      <c r="M42" s="227"/>
      <c r="N42" s="227"/>
      <c r="O42" s="214"/>
      <c r="P42" s="215" t="n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>1724</v>
      </c>
      <c r="Q42" s="216" t="n">
        <f aca="false">IF(ISTEXT(H42),"",(B42*$B$7/100)+(C42*$C$7/100))</f>
        <v>0.002</v>
      </c>
      <c r="R42" s="217" t="n">
        <f aca="false">IF(OR(ISTEXT(H42),Q42=0),"",IF(Q42&lt;0.1,1,IF(Q42&lt;1,2,IF(Q42&lt;10,3,IF(Q42&lt;50,4,IF(Q42&gt;=50,5,""))))))</f>
        <v>1</v>
      </c>
      <c r="S42" s="217" t="n">
        <f aca="false">IF(ISERROR(R42*I42),0,R42*I42)</f>
        <v>0</v>
      </c>
      <c r="T42" s="217" t="n">
        <f aca="false">IF(ISERROR(R42*I42*J42),0,R42*I42*J42)</f>
        <v>0</v>
      </c>
      <c r="U42" s="228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>BIDSPX</v>
      </c>
      <c r="Z42" s="10" t="n">
        <f aca="false">IF(ISERROR(MATCH(A42,'[1]liste reference'!$A$8:$A$904,0)),IF(ISERROR(MATCH(A42,'[1]liste reference'!$B$8:$B$904,0)),"",(MATCH(A42,'[1]liste reference'!$B$8:$B$904,0))),(MATCH(A42,'[1]liste reference'!$A$8:$A$904,0)))</f>
        <v>703</v>
      </c>
      <c r="AA42" s="221"/>
      <c r="AB42" s="222"/>
      <c r="AC42" s="222"/>
      <c r="BB42" s="10" t="n">
        <f aca="false">IF(A42="","",1)</f>
        <v>1</v>
      </c>
    </row>
    <row r="43" customFormat="false" ht="12.75" hidden="false" customHeight="false" outlineLevel="0" collapsed="false">
      <c r="A43" s="223" t="s">
        <v>96</v>
      </c>
      <c r="B43" s="205" t="n">
        <v>0</v>
      </c>
      <c r="C43" s="224" t="n">
        <v>0.002</v>
      </c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>Rorippa islandica</v>
      </c>
      <c r="E43" s="225" t="e">
        <f aca="false">IF(D43="",0,VLOOKUP(D43,D$22:D42,1,0))</f>
        <v>#N/A</v>
      </c>
      <c r="F43" s="230" t="n">
        <f aca="false">($B43*$B$7+$C43*$C$7)/100</f>
        <v>0.002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>PHg</v>
      </c>
      <c r="H43" s="210" t="n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9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>Rorippa islandica</v>
      </c>
      <c r="L43" s="227"/>
      <c r="M43" s="227"/>
      <c r="N43" s="227"/>
      <c r="O43" s="214"/>
      <c r="P43" s="215" t="n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>1766</v>
      </c>
      <c r="Q43" s="216" t="n">
        <f aca="false">IF(ISTEXT(H43),"",(B43*$B$7/100)+(C43*$C$7/100))</f>
        <v>0.002</v>
      </c>
      <c r="R43" s="217" t="n">
        <f aca="false">IF(OR(ISTEXT(H43),Q43=0),"",IF(Q43&lt;0.1,1,IF(Q43&lt;1,2,IF(Q43&lt;10,3,IF(Q43&lt;50,4,IF(Q43&gt;=50,5,""))))))</f>
        <v>1</v>
      </c>
      <c r="S43" s="217" t="n">
        <f aca="false">IF(ISERROR(R43*I43),0,R43*I43)</f>
        <v>0</v>
      </c>
      <c r="T43" s="217" t="n">
        <f aca="false">IF(ISERROR(R43*I43*J43),0,R43*I43*J43)</f>
        <v>0</v>
      </c>
      <c r="U43" s="228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>RORISL</v>
      </c>
      <c r="Z43" s="10" t="n">
        <f aca="false">IF(ISERROR(MATCH(A43,'[1]liste reference'!$A$8:$A$904,0)),IF(ISERROR(MATCH(A43,'[1]liste reference'!$B$8:$B$904,0)),"",(MATCH(A43,'[1]liste reference'!$B$8:$B$904,0))),(MATCH(A43,'[1]liste reference'!$A$8:$A$904,0)))</f>
        <v>808</v>
      </c>
      <c r="AA43" s="221"/>
      <c r="AB43" s="222"/>
      <c r="AC43" s="222"/>
      <c r="BB43" s="10" t="n">
        <f aca="false">IF(A43="","",1)</f>
        <v>1</v>
      </c>
    </row>
    <row r="44" customFormat="false" ht="12.75" hidden="false" customHeight="false" outlineLevel="0" collapsed="false">
      <c r="A44" s="223" t="s">
        <v>97</v>
      </c>
      <c r="B44" s="205" t="n">
        <v>0</v>
      </c>
      <c r="C44" s="224" t="n">
        <v>0.002</v>
      </c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0.002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>    -</v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>Salix alba</v>
      </c>
      <c r="L44" s="227"/>
      <c r="M44" s="227"/>
      <c r="N44" s="227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>No</v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8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>newcod</v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 t="s">
        <v>98</v>
      </c>
      <c r="AC44" s="222"/>
      <c r="BB44" s="10" t="n">
        <f aca="false">IF(A44="","",1)</f>
        <v>1</v>
      </c>
    </row>
    <row r="45" customFormat="false" ht="12.75" hidden="false" customHeight="false" outlineLevel="0" collapsed="false">
      <c r="A45" s="223" t="s">
        <v>97</v>
      </c>
      <c r="B45" s="205" t="n">
        <v>0</v>
      </c>
      <c r="C45" s="224" t="n">
        <v>0.002</v>
      </c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0.002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>    -</v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>Solidago gigantea</v>
      </c>
      <c r="L45" s="227"/>
      <c r="M45" s="227"/>
      <c r="N45" s="227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>No</v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8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>newcod</v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 t="s">
        <v>99</v>
      </c>
      <c r="AC45" s="222"/>
      <c r="BB45" s="10" t="n">
        <f aca="false">IF(A45="","",1)</f>
        <v>1</v>
      </c>
    </row>
    <row r="46" customFormat="false" ht="12.75" hidden="false" customHeight="false" outlineLevel="0" collapsed="false">
      <c r="A46" s="223"/>
      <c r="B46" s="231"/>
      <c r="C46" s="224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7"/>
      <c r="M46" s="227"/>
      <c r="N46" s="227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8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31"/>
      <c r="C47" s="224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7"/>
      <c r="M47" s="227"/>
      <c r="N47" s="227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8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31"/>
      <c r="C48" s="224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7"/>
      <c r="M48" s="227"/>
      <c r="N48" s="227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8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31"/>
      <c r="C49" s="224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7"/>
      <c r="M49" s="227"/>
      <c r="N49" s="227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8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31"/>
      <c r="C50" s="224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7"/>
      <c r="M50" s="227"/>
      <c r="N50" s="227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8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31"/>
      <c r="C51" s="224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7"/>
      <c r="M51" s="227"/>
      <c r="N51" s="227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8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31"/>
      <c r="C52" s="224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7"/>
      <c r="M52" s="227"/>
      <c r="N52" s="227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8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31"/>
      <c r="C53" s="224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7"/>
      <c r="M53" s="227"/>
      <c r="N53" s="227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8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31"/>
      <c r="C54" s="224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7"/>
      <c r="M54" s="227"/>
      <c r="N54" s="227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8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31"/>
      <c r="C55" s="224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7"/>
      <c r="M55" s="227"/>
      <c r="N55" s="227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8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31"/>
      <c r="C56" s="224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7"/>
      <c r="M56" s="227"/>
      <c r="N56" s="227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8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31"/>
      <c r="C57" s="224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7"/>
      <c r="M57" s="227"/>
      <c r="N57" s="227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8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31"/>
      <c r="C58" s="224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7"/>
      <c r="M58" s="227"/>
      <c r="N58" s="227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8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31"/>
      <c r="C59" s="224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8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31"/>
      <c r="C60" s="224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8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31"/>
      <c r="C61" s="224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7"/>
      <c r="M61" s="227"/>
      <c r="N61" s="227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8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31"/>
      <c r="C62" s="224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7"/>
      <c r="M62" s="227"/>
      <c r="N62" s="227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8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31"/>
      <c r="C63" s="224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7"/>
      <c r="M63" s="227"/>
      <c r="N63" s="227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8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31"/>
      <c r="C64" s="224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7"/>
      <c r="M64" s="227"/>
      <c r="N64" s="227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8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31"/>
      <c r="C65" s="224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7"/>
      <c r="M65" s="227"/>
      <c r="N65" s="227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8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31"/>
      <c r="C66" s="224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7"/>
      <c r="M66" s="227"/>
      <c r="N66" s="227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8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31"/>
      <c r="C67" s="224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7"/>
      <c r="M67" s="227"/>
      <c r="N67" s="227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8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31"/>
      <c r="C68" s="224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7"/>
      <c r="M68" s="227"/>
      <c r="N68" s="227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8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31"/>
      <c r="C69" s="224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7"/>
      <c r="M69" s="227"/>
      <c r="N69" s="227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8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31"/>
      <c r="C70" s="224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7"/>
      <c r="M70" s="227"/>
      <c r="N70" s="227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8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31"/>
      <c r="C71" s="224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7"/>
      <c r="M71" s="227"/>
      <c r="N71" s="227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8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31"/>
      <c r="C72" s="224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7"/>
      <c r="M72" s="227"/>
      <c r="N72" s="227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8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31"/>
      <c r="C73" s="224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7"/>
      <c r="M73" s="227"/>
      <c r="N73" s="227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8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31"/>
      <c r="C74" s="224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7"/>
      <c r="M74" s="227"/>
      <c r="N74" s="227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8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31"/>
      <c r="C75" s="224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7"/>
      <c r="M75" s="227"/>
      <c r="N75" s="227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8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31"/>
      <c r="C76" s="224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7"/>
      <c r="M76" s="227"/>
      <c r="N76" s="227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8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31"/>
      <c r="C77" s="224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7"/>
      <c r="M77" s="227"/>
      <c r="N77" s="227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8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31"/>
      <c r="C78" s="224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7"/>
      <c r="M78" s="227"/>
      <c r="N78" s="227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8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31"/>
      <c r="C79" s="224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7"/>
      <c r="M79" s="227"/>
      <c r="N79" s="227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8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31"/>
      <c r="C80" s="224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7"/>
      <c r="M80" s="227"/>
      <c r="N80" s="227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8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31"/>
      <c r="C81" s="224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8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8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100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SAONE</v>
      </c>
      <c r="B84" s="259" t="str">
        <f aca="false">C3</f>
        <v>SAONE A LYON</v>
      </c>
      <c r="C84" s="260" t="n">
        <f aca="false">A4</f>
        <v>41519</v>
      </c>
      <c r="D84" s="261" t="n">
        <f aca="false">IF(ISERROR(SUM($T$23:$T$82)/SUM($U$23:$U$82)),"",SUM($T$23:$T$82)/SUM($U$23:$U$82))</f>
        <v>7.27027027027027</v>
      </c>
      <c r="E84" s="262" t="n">
        <f aca="false">N13</f>
        <v>23</v>
      </c>
      <c r="F84" s="259" t="n">
        <f aca="false">N14</f>
        <v>16</v>
      </c>
      <c r="G84" s="259" t="n">
        <f aca="false">N15</f>
        <v>5</v>
      </c>
      <c r="H84" s="259" t="n">
        <f aca="false">N16</f>
        <v>9</v>
      </c>
      <c r="I84" s="259" t="n">
        <f aca="false">N17</f>
        <v>2</v>
      </c>
      <c r="J84" s="263" t="n">
        <f aca="false">N8</f>
        <v>7.5</v>
      </c>
      <c r="K84" s="261" t="n">
        <f aca="false">N9</f>
        <v>2.97909382195325</v>
      </c>
      <c r="L84" s="262" t="n">
        <f aca="false">N10</f>
        <v>2</v>
      </c>
      <c r="M84" s="262" t="n">
        <f aca="false">N11</f>
        <v>13</v>
      </c>
      <c r="N84" s="261" t="n">
        <f aca="false">O8</f>
        <v>1.8125</v>
      </c>
      <c r="O84" s="261" t="n">
        <f aca="false">O9</f>
        <v>0.634305722818264</v>
      </c>
      <c r="P84" s="262" t="n">
        <f aca="false">O10</f>
        <v>1</v>
      </c>
      <c r="Q84" s="262" t="n">
        <f aca="false">O11</f>
        <v>3</v>
      </c>
      <c r="R84" s="262" t="n">
        <f aca="false">F21</f>
        <v>21.4561368421053</v>
      </c>
      <c r="S84" s="262" t="n">
        <f aca="false">K11</f>
        <v>0</v>
      </c>
      <c r="T84" s="262" t="n">
        <f aca="false">K12</f>
        <v>6</v>
      </c>
      <c r="U84" s="262" t="n">
        <f aca="false">K13</f>
        <v>3</v>
      </c>
      <c r="V84" s="264" t="n">
        <f aca="false">K14</f>
        <v>0</v>
      </c>
      <c r="W84" s="265" t="n">
        <f aca="false">K15</f>
        <v>12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101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102</v>
      </c>
      <c r="R87" s="10"/>
      <c r="S87" s="218" t="n">
        <f aca="false">VLOOKUP(MAX($S$23:$S$82),($S$23:$U$82),1,0)</f>
        <v>36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103</v>
      </c>
      <c r="R88" s="10"/>
      <c r="S88" s="218" t="n">
        <f aca="false">VLOOKUP((S87),($S$23:$U$82),2,0)</f>
        <v>36</v>
      </c>
      <c r="T88" s="10"/>
      <c r="U88" s="10"/>
      <c r="V88" s="10"/>
    </row>
    <row r="89" customFormat="false" ht="12.75" hidden="true" customHeight="false" outlineLevel="0" collapsed="false">
      <c r="Q89" s="10" t="s">
        <v>104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105</v>
      </c>
      <c r="R90" s="10"/>
      <c r="S90" s="268" t="n">
        <f aca="false">IF(ISERROR(SUM($T$23:$T$82)/SUM($U$23:$U$82)),"",(SUM($T$23:$T$82)-S88)/(SUM($U$23:$U$82)-S89))</f>
        <v>7.06060606060606</v>
      </c>
      <c r="T90" s="10"/>
    </row>
    <row r="91" customFormat="false" ht="12.75" hidden="false" customHeight="false" outlineLevel="0" collapsed="false">
      <c r="Q91" s="217" t="s">
        <v>106</v>
      </c>
      <c r="R91" s="217"/>
      <c r="S91" s="217" t="str">
        <f aca="false">INDEX('[1]liste reference'!$A$8:$A$904,$T$91)</f>
        <v>NUPLUT</v>
      </c>
      <c r="T91" s="10" t="n">
        <f aca="false">IF(ISERROR(MATCH($S$93,'[1]liste reference'!$A$8:$A$904,0)),MATCH($S$93,'[1]liste reference'!$B$8:$B$904,0),(MATCH($S$93,'[1]liste reference'!$A$8:$A$904,0)))</f>
        <v>389</v>
      </c>
      <c r="U91" s="257"/>
    </row>
    <row r="92" customFormat="false" ht="12.75" hidden="false" customHeight="false" outlineLevel="0" collapsed="false">
      <c r="Q92" s="10" t="s">
        <v>107</v>
      </c>
      <c r="R92" s="10"/>
      <c r="S92" s="10" t="n">
        <f aca="false">MATCH(S87,$S$23:$S$82,0)</f>
        <v>13</v>
      </c>
      <c r="T92" s="10"/>
    </row>
    <row r="93" customFormat="false" ht="12.75" hidden="false" customHeight="false" outlineLevel="0" collapsed="false">
      <c r="Q93" s="217" t="s">
        <v>108</v>
      </c>
      <c r="R93" s="10"/>
      <c r="S93" s="217" t="str">
        <f aca="false">INDEX($A$23:$A$82,$S$92)</f>
        <v>NUPLUT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2014-01-21T16:21:47Z</dcterms:created>
  <dc:creator>Laurent Bourgoin</dc:creator>
  <dc:description/>
  <dc:language>fr-FR</dc:language>
  <cp:lastModifiedBy>Laurent Bourgoin</cp:lastModifiedBy>
  <dcterms:modified xsi:type="dcterms:W3CDTF">2014-01-21T16:22:01Z</dcterms:modified>
  <cp:revision>0</cp:revision>
  <dc:subject/>
  <dc:title/>
</cp:coreProperties>
</file>