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<sst xmlns="http://schemas.openxmlformats.org/spreadsheetml/2006/main" count="219" uniqueCount="95">
  <si>
    <t>Relevés floristiques aquatiques - IBMR</t>
  </si>
  <si>
    <t xml:space="preserve">Formulaire modèle GIS Macrophytes v 3.1.1 - janvier 2013  </t>
  </si>
  <si>
    <t>SAGE</t>
  </si>
  <si>
    <t>L.BOURGOIN S.RENAHY</t>
  </si>
  <si>
    <t>conforme AFNOR T90-395 oct. 2003</t>
  </si>
  <si>
    <t>Giffre</t>
  </si>
  <si>
    <t>Giffre à Taninges</t>
  </si>
  <si>
    <t>06062600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</si>
  <si>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</si>
  <si>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</si>
  <si>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</si>
  <si>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</si>
  <si>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</si>
  <si>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</si>
  <si>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</si>
  <si>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</si>
  <si>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</si>
  <si>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</si>
  <si>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pl. courant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</si>
  <si>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</si>
  <si>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</si>
  <si>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</si>
  <si>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</si>
  <si>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</si>
  <si>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</si>
  <si>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</si>
  <si>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</si>
  <si>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</si>
  <si>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</si>
  <si>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</si>
  <si>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</si>
  <si>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</si>
  <si>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</si>
  <si>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</si>
  <si>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</si>
  <si>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</si>
  <si>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</si>
  <si>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</si>
  <si>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</si>
  <si>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</si>
  <si>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</si>
  <si>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</si>
  <si>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</si>
  <si>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</si>
  <si>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</si>
  <si>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</si>
  <si>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</si>
  <si>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</si>
  <si>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</si>
  <si>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</si>
  <si>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</si>
  <si>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</si>
  <si>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</si>
  <si>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</si>
  <si>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</si>
  <si>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</si>
  <si>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</si>
  <si>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</si>
  <si>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</si>
  <si>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</si>
  <si>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</si>
  <si>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</si>
  <si>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</si>
  <si>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</si>
  <si>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</si>
  <si>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</si>
  <si>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</si>
  <si>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</si>
  <si>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</si>
  <si>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</si>
  <si>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</si>
  <si>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</si>
  <si>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</si>
  <si>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</si>
  <si>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</si>
  <si>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</si>
  <si>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</si>
  <si>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</si>
  <si>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</si>
  <si>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CONCON</t>
  </si>
  <si>
    <t>JUGATR</t>
  </si>
  <si>
    <t>CINFON</t>
  </si>
  <si>
    <t>DIHPEL</t>
  </si>
  <si>
    <t>FISCRA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</si>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</sst>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2" fontId="0" fillId="43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2" fontId="0" fillId="43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GITAN_02-10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20" sqref="W2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41549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15.8125</v>
      </c>
      <c r="M5" s="52"/>
      <c r="N5" s="53" t="s">
        <v>16</v>
      </c>
      <c r="O5" s="54">
        <v>13.9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99</v>
      </c>
      <c r="C7" s="65">
        <v>1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14</v>
      </c>
      <c r="O8" s="81">
        <f>IF(ISERROR(AVERAGE(J23:J82)),"      -",AVERAGE(J23:J82))</f>
        <v>2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0.04</v>
      </c>
      <c r="C9" s="84">
        <v>68.13</v>
      </c>
      <c r="D9" s="85"/>
      <c r="E9" s="85"/>
      <c r="F9" s="86">
        <f aca="true" t="shared" si="0" ref="F9:F15">($B9*$B$7+$C9*$C$7)/100</f>
        <v>0.7208999999999999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3.605551275463989</v>
      </c>
      <c r="O9" s="81">
        <f>IF(ISERROR(STDEVP(J23:J82)),"      -",STDEVP(J23:J82))</f>
        <v>0.816496580927726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10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19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/>
      <c r="C12" s="115"/>
      <c r="D12" s="108"/>
      <c r="E12" s="108"/>
      <c r="F12" s="109">
        <f t="shared" si="0"/>
        <v>0</v>
      </c>
      <c r="G12" s="116"/>
      <c r="H12" s="66"/>
      <c r="I12" s="274" t="s">
        <v>39</v>
      </c>
      <c r="J12" s="265"/>
      <c r="K12" s="111">
        <f>COUNTIF($G$23:$G$82,"=ALG")</f>
        <v>0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0.04</v>
      </c>
      <c r="C13" s="115">
        <v>68.13</v>
      </c>
      <c r="D13" s="108"/>
      <c r="E13" s="108"/>
      <c r="F13" s="109">
        <f t="shared" si="0"/>
        <v>0.7208999999999999</v>
      </c>
      <c r="G13" s="116"/>
      <c r="H13" s="66"/>
      <c r="I13" s="264" t="s">
        <v>41</v>
      </c>
      <c r="J13" s="265"/>
      <c r="K13" s="111">
        <f>COUNTIF($G$23:$G$82,"=BRm")+COUNTIF($G$23:$G$82,"=BRh")</f>
        <v>8</v>
      </c>
      <c r="L13" s="112"/>
      <c r="M13" s="122" t="s">
        <v>42</v>
      </c>
      <c r="N13" s="123">
        <f>COUNTIF(F23:F82,"&gt;0")</f>
        <v>8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6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48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2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0.04</v>
      </c>
      <c r="C17" s="115">
        <v>68.13</v>
      </c>
      <c r="D17" s="108"/>
      <c r="E17" s="108"/>
      <c r="F17" s="139"/>
      <c r="G17" s="109">
        <f>($B17*$B$7+$C17*$C$7)/100</f>
        <v>0.7208999999999999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2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0.7208999999999999</v>
      </c>
      <c r="G19" s="153">
        <f>SUM(G16:G18)</f>
        <v>0.7208999999999999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0.04</v>
      </c>
      <c r="C20" s="163">
        <f>SUM(C23:C82)</f>
        <v>68.13</v>
      </c>
      <c r="D20" s="164"/>
      <c r="E20" s="165" t="s">
        <v>54</v>
      </c>
      <c r="F20" s="166">
        <f>($B20*$B$7+$C20*$C$7)/100</f>
        <v>0.7208999999999999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0.039599999999999996</v>
      </c>
      <c r="C21" s="176">
        <f>C20*C7/100</f>
        <v>0.6812999999999999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0.7208999999999999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0.01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Conocephalum conicum</v>
      </c>
      <c r="E23" s="203" t="e">
        <f>IF(D23="",,VLOOKUP(D23,D$22:D22,1,0))</f>
        <v>#N/A</v>
      </c>
      <c r="F23" s="204">
        <f aca="true" t="shared" si="1" ref="F23:F82">($B23*$B$7+$C23*$C$7)/100</f>
        <v>0.01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BRh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4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Conocephalum conicum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1176</v>
      </c>
      <c r="Q23" s="211">
        <f aca="true" t="shared" si="2" ref="Q23:Q82">IF(ISTEXT(H23),"",(B23*$B$7/100)+(C23*$C$7/100))</f>
        <v>0.009999999999999998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0</v>
      </c>
      <c r="T23" s="212">
        <f aca="true" t="shared" si="5" ref="T23:T82">IF(ISERROR(R23*I23*J23),0,R23*I23*J23)</f>
        <v>0</v>
      </c>
      <c r="U23" s="212">
        <f aca="true" t="shared" si="6" ref="U23:U82">IF(ISERROR(R23*J23),0,R23*J23)</f>
        <v>0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CONCON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99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</v>
      </c>
      <c r="C24" s="220">
        <v>0.01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Jungermannia atrovirens</v>
      </c>
      <c r="E24" s="221" t="e">
        <f>IF(D24="",,VLOOKUP(D24,D$22:D23,1,0))</f>
        <v>#N/A</v>
      </c>
      <c r="F24" s="222">
        <f t="shared" si="1"/>
        <v>0.0001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BRh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4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19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3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Jungermannia atrovirens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19820</v>
      </c>
      <c r="Q24" s="211">
        <f t="shared" si="2"/>
        <v>0.0001</v>
      </c>
      <c r="R24" s="212">
        <f t="shared" si="3"/>
        <v>1</v>
      </c>
      <c r="S24" s="212">
        <f t="shared" si="4"/>
        <v>19</v>
      </c>
      <c r="T24" s="212">
        <f t="shared" si="5"/>
        <v>57</v>
      </c>
      <c r="U24" s="224">
        <f t="shared" si="6"/>
        <v>3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JUGATR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101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</v>
      </c>
      <c r="C25" s="220">
        <v>0.01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Cinclidotus fontinaloides</v>
      </c>
      <c r="E25" s="221" t="e">
        <f>IF(D25="",,VLOOKUP(D25,D$22:D24,1,0))</f>
        <v>#N/A</v>
      </c>
      <c r="F25" s="222">
        <f t="shared" si="1"/>
        <v>0.0001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Cinclidotus fontinaloides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1320</v>
      </c>
      <c r="Q25" s="211">
        <f t="shared" si="2"/>
        <v>0.0001</v>
      </c>
      <c r="R25" s="212">
        <f t="shared" si="3"/>
        <v>1</v>
      </c>
      <c r="S25" s="212">
        <f t="shared" si="4"/>
        <v>12</v>
      </c>
      <c r="T25" s="212">
        <f t="shared" si="5"/>
        <v>24</v>
      </c>
      <c r="U25" s="224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CINFON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172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</v>
      </c>
      <c r="C26" s="220">
        <v>10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Dichodontium pellucidum</v>
      </c>
      <c r="E26" s="221" t="e">
        <f>IF(D26="",,VLOOKUP(D26,D$22:D25,1,0))</f>
        <v>#N/A</v>
      </c>
      <c r="F26" s="222">
        <f t="shared" si="1"/>
        <v>0.1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Dichodontium pellucidum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1278</v>
      </c>
      <c r="Q26" s="211">
        <f t="shared" si="2"/>
        <v>0.1</v>
      </c>
      <c r="R26" s="212">
        <f t="shared" si="3"/>
        <v>2</v>
      </c>
      <c r="S26" s="212">
        <f t="shared" si="4"/>
        <v>0</v>
      </c>
      <c r="T26" s="212">
        <f t="shared" si="5"/>
        <v>0</v>
      </c>
      <c r="U26" s="224">
        <f t="shared" si="6"/>
        <v>0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DIHPEL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182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0.01</v>
      </c>
      <c r="C27" s="220">
        <v>3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Fissidens crassipes</v>
      </c>
      <c r="E27" s="221" t="e">
        <f>IF(D27="",,VLOOKUP(D27,D$22:D26,1,0))</f>
        <v>#N/A</v>
      </c>
      <c r="F27" s="222">
        <f t="shared" si="1"/>
        <v>0.039900000000000005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Fissidens crassipes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1294</v>
      </c>
      <c r="Q27" s="211">
        <f t="shared" si="2"/>
        <v>0.0399</v>
      </c>
      <c r="R27" s="212">
        <f t="shared" si="3"/>
        <v>1</v>
      </c>
      <c r="S27" s="212">
        <f t="shared" si="4"/>
        <v>12</v>
      </c>
      <c r="T27" s="212">
        <f t="shared" si="5"/>
        <v>24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FISCRA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197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</v>
      </c>
      <c r="C28" s="220">
        <v>0.1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21" t="e">
        <f>IF(D28="",,VLOOKUP(D28,D$22:D27,1,0))</f>
        <v>#N/A</v>
      </c>
      <c r="F28" s="222">
        <f t="shared" si="1"/>
        <v>0.001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11">
        <f t="shared" si="2"/>
        <v>0.001</v>
      </c>
      <c r="R28" s="212">
        <f t="shared" si="3"/>
        <v>1</v>
      </c>
      <c r="S28" s="212">
        <f t="shared" si="4"/>
        <v>10</v>
      </c>
      <c r="T28" s="212">
        <f t="shared" si="5"/>
        <v>10</v>
      </c>
      <c r="U28" s="224">
        <f t="shared" si="6"/>
        <v>1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16"/>
      <c r="AB28" s="217"/>
      <c r="AC28" s="217"/>
      <c r="BB28" s="8">
        <f t="shared" si="8"/>
        <v>1</v>
      </c>
    </row>
    <row r="29" spans="1:54" ht="12.75">
      <c r="A29" s="218" t="s">
        <v>16</v>
      </c>
      <c r="B29" s="219">
        <v>0.01</v>
      </c>
      <c r="C29" s="220">
        <v>15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Hygrohypnum luridum</v>
      </c>
      <c r="E29" s="221" t="e">
        <f>IF(D29="",,VLOOKUP(D29,D$22:D28,1,0))</f>
        <v>#N/A</v>
      </c>
      <c r="F29" s="222">
        <f t="shared" si="1"/>
        <v>0.15990000000000001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19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Hygrohypnum luridum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1240</v>
      </c>
      <c r="Q29" s="211">
        <f t="shared" si="2"/>
        <v>0.1599</v>
      </c>
      <c r="R29" s="212">
        <f t="shared" si="3"/>
        <v>2</v>
      </c>
      <c r="S29" s="212">
        <f t="shared" si="4"/>
        <v>38</v>
      </c>
      <c r="T29" s="212">
        <f t="shared" si="5"/>
        <v>114</v>
      </c>
      <c r="U29" s="224">
        <f t="shared" si="6"/>
        <v>6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HYGLUR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219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85</v>
      </c>
      <c r="B30" s="219">
        <v>0.01</v>
      </c>
      <c r="C30" s="220">
        <v>40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21" t="e">
        <f>IF(D30="",,VLOOKUP(D30,D$22:D29,1,0))</f>
        <v>#N/A</v>
      </c>
      <c r="F30" s="222">
        <f t="shared" si="1"/>
        <v>0.40990000000000004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11">
        <f t="shared" si="2"/>
        <v>0.40990000000000004</v>
      </c>
      <c r="R30" s="212">
        <f t="shared" si="3"/>
        <v>2</v>
      </c>
      <c r="S30" s="212">
        <f t="shared" si="4"/>
        <v>24</v>
      </c>
      <c r="T30" s="212">
        <f t="shared" si="5"/>
        <v>24</v>
      </c>
      <c r="U30" s="224">
        <f t="shared" si="6"/>
        <v>2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16"/>
      <c r="AB30" s="217"/>
      <c r="AC30" s="217"/>
      <c r="BB30" s="8">
        <f t="shared" si="8"/>
        <v>1</v>
      </c>
    </row>
    <row r="31" spans="1:54" ht="12.75">
      <c r="A31" s="218" t="s">
        <v>55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55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Giffre</v>
      </c>
      <c r="B84" s="254" t="str">
        <f>C3</f>
        <v>Giffre à Taninges</v>
      </c>
      <c r="C84" s="255">
        <f>A4</f>
        <v>41549</v>
      </c>
      <c r="D84" s="256">
        <f>IF(ISERROR(SUM($T$23:$T$82)/SUM($U$23:$U$82)),"",SUM($T$23:$T$82)/SUM($U$23:$U$82))</f>
        <v>15.8125</v>
      </c>
      <c r="E84" s="257">
        <f>N13</f>
        <v>8</v>
      </c>
      <c r="F84" s="254">
        <f>N14</f>
        <v>6</v>
      </c>
      <c r="G84" s="254">
        <f>N15</f>
        <v>2</v>
      </c>
      <c r="H84" s="254">
        <f>N16</f>
        <v>2</v>
      </c>
      <c r="I84" s="254">
        <f>N17</f>
        <v>2</v>
      </c>
      <c r="J84" s="258">
        <f>N8</f>
        <v>14</v>
      </c>
      <c r="K84" s="256">
        <f>N9</f>
        <v>3.605551275463989</v>
      </c>
      <c r="L84" s="257">
        <f>N10</f>
        <v>10</v>
      </c>
      <c r="M84" s="257">
        <f>N11</f>
        <v>19</v>
      </c>
      <c r="N84" s="256">
        <f>O8</f>
        <v>2</v>
      </c>
      <c r="O84" s="256">
        <f>O9</f>
        <v>0.816496580927726</v>
      </c>
      <c r="P84" s="257">
        <f>O10</f>
        <v>1</v>
      </c>
      <c r="Q84" s="257">
        <f>O11</f>
        <v>3</v>
      </c>
      <c r="R84" s="257">
        <f>F21</f>
        <v>0.7208999999999999</v>
      </c>
      <c r="S84" s="257">
        <f>K11</f>
        <v>0</v>
      </c>
      <c r="T84" s="257">
        <f>K12</f>
        <v>0</v>
      </c>
      <c r="U84" s="257">
        <f>K13</f>
        <v>8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87</v>
      </c>
      <c r="R86" s="8"/>
      <c r="S86" s="213"/>
      <c r="T86" s="8"/>
      <c r="U86" s="8"/>
      <c r="V86" s="8"/>
    </row>
    <row r="87" spans="16:22" ht="12.75" hidden="1">
      <c r="P87" s="8"/>
      <c r="Q87" s="8" t="s">
        <v>88</v>
      </c>
      <c r="R87" s="8"/>
      <c r="S87" s="213">
        <f>VLOOKUP(MAX($S$23:$S$82),($S$23:$U$82),1,0)</f>
        <v>38</v>
      </c>
      <c r="T87" s="8"/>
      <c r="U87" s="8"/>
      <c r="V87" s="8"/>
    </row>
    <row r="88" spans="16:22" ht="12.75" hidden="1">
      <c r="P88" s="8"/>
      <c r="Q88" s="8" t="s">
        <v>89</v>
      </c>
      <c r="R88" s="8"/>
      <c r="S88" s="213">
        <f>VLOOKUP((S87),($S$23:$U$82),2,0)</f>
        <v>114</v>
      </c>
      <c r="T88" s="8"/>
      <c r="U88" s="8"/>
      <c r="V88" s="8"/>
    </row>
    <row r="89" spans="17:20" ht="12.75" hidden="1">
      <c r="Q89" s="8" t="s">
        <v>90</v>
      </c>
      <c r="R89" s="8"/>
      <c r="S89" s="213">
        <f>VLOOKUP((S87),($S$23:$U$82),3,0)</f>
        <v>6</v>
      </c>
      <c r="T89" s="8"/>
    </row>
    <row r="90" spans="17:20" ht="12.75">
      <c r="Q90" s="8" t="s">
        <v>91</v>
      </c>
      <c r="R90" s="8"/>
      <c r="S90" s="263">
        <f>IF(ISERROR(SUM($T$23:$T$82)/SUM($U$23:$U$82)),"",(SUM($T$23:$T$82)-S88)/(SUM($U$23:$U$82)-S89))</f>
        <v>13.9</v>
      </c>
      <c r="T90" s="8"/>
    </row>
    <row r="91" spans="17:21" ht="12.75">
      <c r="Q91" s="212" t="s">
        <v>92</v>
      </c>
      <c r="R91" s="212"/>
      <c r="S91" s="212" t="str">
        <f>INDEX('[1]liste reference'!$A$8:$A$904,$T$91)</f>
        <v>HYGLUR</v>
      </c>
      <c r="T91" s="8">
        <f>IF(ISERROR(MATCH($S$93,'[1]liste reference'!$A$8:$A$904,0)),MATCH($S$93,'[1]liste reference'!$B$8:$B$904,0),(MATCH($S$93,'[1]liste reference'!$A$8:$A$904,0)))</f>
        <v>219</v>
      </c>
      <c r="U91" s="252"/>
    </row>
    <row r="92" spans="17:20" ht="12.75">
      <c r="Q92" s="8" t="s">
        <v>93</v>
      </c>
      <c r="R92" s="8"/>
      <c r="S92" s="8">
        <f>MATCH(S87,$S$23:$S$82,0)</f>
        <v>7</v>
      </c>
      <c r="T92" s="8"/>
    </row>
    <row r="93" spans="17:20" ht="12.75">
      <c r="Q93" s="212" t="s">
        <v>94</v>
      </c>
      <c r="R93" s="8"/>
      <c r="S93" s="212" t="str">
        <f>INDEX($A$23:$A$82,$S$92)</f>
        <v>HYGLUR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2013-12-06T08:56:49Z</dcterms:created>
  <dcterms:modified xsi:type="dcterms:W3CDTF">2013-12-06T08:59:08Z</dcterms:modified>
  <cp:category/>
  <cp:version/>
  <cp:contentType/>
  <cp:contentStatus/>
</cp:coreProperties>
</file>