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<sst xmlns="http://schemas.openxmlformats.org/spreadsheetml/2006/main" count="219" uniqueCount="104">
  <si>
    <t>Relevés floristiques aquatiques - IBMR</t>
  </si>
  <si>
    <t xml:space="preserve">Formulaire modèle GIS Macrophytes v 3.1.1 - janvier 2013  </t>
  </si>
  <si>
    <t>SAGE</t>
  </si>
  <si>
    <t>LBOURGOIN LISEBE</t>
  </si>
  <si>
    <t>conforme AFNOR T90-395 oct. 2003</t>
  </si>
  <si>
    <t>EDIAN</t>
  </si>
  <si>
    <t>EDIAN A ABONDANCE</t>
  </si>
  <si>
    <t>06065450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</si>
  <si>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</si>
  <si>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</si>
  <si>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</si>
  <si>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</si>
  <si>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</si>
  <si>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</si>
  <si>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</si>
  <si>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</si>
  <si>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HYGLUR</t>
  </si>
  <si>
    <t>Faciès dominant</t>
  </si>
  <si>
    <t>rapide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</si>
  <si>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</si>
  <si>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</si>
  <si>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</si>
  <si>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</si>
  <si>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</si>
  <si>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</si>
  <si>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</si>
  <si>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</si>
  <si>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</si>
  <si>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</si>
  <si>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</si>
  <si>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</si>
  <si>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</si>
  <si>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</si>
  <si>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</si>
  <si>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</si>
  <si>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</si>
  <si>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</si>
  <si>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</si>
  <si>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</si>
  <si>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</si>
  <si>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</si>
  <si>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</si>
  <si>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</si>
  <si>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</si>
  <si>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</si>
  <si>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</si>
  <si>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</si>
  <si>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</si>
  <si>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</si>
  <si>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</si>
  <si>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</si>
  <si>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</si>
  <si>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</si>
  <si>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</si>
  <si>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</si>
  <si>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</si>
  <si>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</si>
  <si>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</si>
  <si>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</si>
  <si>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</si>
  <si>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</si>
  <si>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</si>
  <si>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</si>
  <si>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</si>
  <si>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</si>
  <si>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</si>
  <si>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</si>
  <si>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</si>
  <si>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</si>
  <si>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</si>
  <si>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</si>
  <si>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</si>
  <si>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</si>
  <si>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</si>
  <si>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</si>
  <si>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</si>
  <si>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</si>
  <si>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</si>
  <si>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</si>
  <si>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HOMSPX</t>
  </si>
  <si>
    <t>HYUSPX</t>
  </si>
  <si>
    <t>MICSPX</t>
  </si>
  <si>
    <t>NOSSPX</t>
  </si>
  <si>
    <t>PHOSPX</t>
  </si>
  <si>
    <t>RHISPX</t>
  </si>
  <si>
    <t>SPISPX</t>
  </si>
  <si>
    <t>TOYSPX</t>
  </si>
  <si>
    <t>ULOSPX</t>
  </si>
  <si>
    <t>VAUSPX</t>
  </si>
  <si>
    <t>JUGATR</t>
  </si>
  <si>
    <t>PELEND</t>
  </si>
  <si>
    <t>CRACOM</t>
  </si>
  <si>
    <t>CRAFIL</t>
  </si>
  <si>
    <t>RHYRIP</t>
  </si>
  <si>
    <t>PETHYB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</si>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</sst>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EDIAN_16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41471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14.97872340425532</v>
      </c>
      <c r="M5" s="52"/>
      <c r="N5" s="53" t="s">
        <v>16</v>
      </c>
      <c r="O5" s="54">
        <v>14.026315789473685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12.384615384615385</v>
      </c>
      <c r="O8" s="84">
        <f>IF(ISERROR(AVERAGE(J23:J82)),"      -",AVERAGE(J23:J82))</f>
        <v>1.8461538461538463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24.83</v>
      </c>
      <c r="C9" s="87">
        <v>16.04</v>
      </c>
      <c r="D9" s="88"/>
      <c r="E9" s="88"/>
      <c r="F9" s="89">
        <f aca="true" t="shared" si="0" ref="F9:F15">($B9*$B$7+$C9*$C$7)/100</f>
        <v>23.951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4.828416869684681</v>
      </c>
      <c r="O9" s="84">
        <f>IF(ISERROR(STDEVP(J23:J82)),"      -",STDEVP(J23:J82))</f>
        <v>0.7692307692307693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19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10.53</v>
      </c>
      <c r="C12" s="120">
        <v>3.31</v>
      </c>
      <c r="D12" s="111"/>
      <c r="E12" s="111"/>
      <c r="F12" s="112">
        <f t="shared" si="0"/>
        <v>9.808</v>
      </c>
      <c r="G12" s="121"/>
      <c r="H12" s="67"/>
      <c r="I12" s="122" t="s">
        <v>39</v>
      </c>
      <c r="J12" s="123"/>
      <c r="K12" s="116">
        <f>COUNTIF($G$23:$G$82,"=ALG")</f>
        <v>10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14.3</v>
      </c>
      <c r="C13" s="120">
        <v>12.73</v>
      </c>
      <c r="D13" s="111"/>
      <c r="E13" s="111"/>
      <c r="F13" s="112">
        <f t="shared" si="0"/>
        <v>14.142999999999999</v>
      </c>
      <c r="G13" s="121"/>
      <c r="H13" s="67"/>
      <c r="I13" s="129" t="s">
        <v>41</v>
      </c>
      <c r="J13" s="123"/>
      <c r="K13" s="116">
        <f>COUNTIF($G$23:$G$82,"=BRm")+COUNTIF($G$23:$G$82,"=BRh")</f>
        <v>6</v>
      </c>
      <c r="L13" s="117"/>
      <c r="M13" s="130" t="s">
        <v>42</v>
      </c>
      <c r="N13" s="131">
        <f>COUNTIF(F23:F82,"&gt;0")</f>
        <v>17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13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 t="shared" si="0"/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48</v>
      </c>
      <c r="N15" s="141">
        <f>COUNTIF(J23:J82,"=1")</f>
        <v>5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5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24.83</v>
      </c>
      <c r="C17" s="120">
        <v>16.04</v>
      </c>
      <c r="D17" s="111"/>
      <c r="E17" s="111"/>
      <c r="F17" s="147"/>
      <c r="G17" s="112">
        <f>($B17*$B$7+$C17*$C$7)/100</f>
        <v>23.951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3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23.951</v>
      </c>
      <c r="G19" s="161">
        <f>SUM(G16:G18)</f>
        <v>23.951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24.8286</v>
      </c>
      <c r="C20" s="171">
        <f>SUM(C23:C82)</f>
        <v>16.051000000000002</v>
      </c>
      <c r="D20" s="172"/>
      <c r="E20" s="173" t="s">
        <v>54</v>
      </c>
      <c r="F20" s="174">
        <f>($B20*$B$7+$C20*$C$7)/100</f>
        <v>23.950840000000003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22.34574</v>
      </c>
      <c r="C21" s="184">
        <f>C20*C7/100</f>
        <v>1.6051000000000002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23.95084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0.45</v>
      </c>
      <c r="C23" s="212">
        <v>0.45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Homoeothrix sp.</v>
      </c>
      <c r="E23" s="213" t="e">
        <f>IF(D23="",,VLOOKUP(D23,D$22:D22,1,0))</f>
        <v>#N/A</v>
      </c>
      <c r="F23" s="214">
        <f aca="true" t="shared" si="1" ref="F23:F82">($B23*$B$7+$C23*$C$7)/100</f>
        <v>0.45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Homoeothrix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6395</v>
      </c>
      <c r="Q23" s="221">
        <f aca="true" t="shared" si="2" ref="Q23:Q82">IF(ISTEXT(H23),"",(B23*$B$7/100)+(C23*$C$7/100))</f>
        <v>0.45</v>
      </c>
      <c r="R23" s="222">
        <f aca="true" t="shared" si="3" ref="R23:R82">IF(OR(ISTEXT(H23),Q23=0),"",IF(Q23&lt;0.1,1,IF(Q23&lt;1,2,IF(Q23&lt;10,3,IF(Q23&lt;50,4,IF(Q23&gt;=50,5,""))))))</f>
        <v>2</v>
      </c>
      <c r="S23" s="222">
        <f aca="true" t="shared" si="4" ref="S23:S82">IF(ISERROR(R23*I23),0,R23*I23)</f>
        <v>0</v>
      </c>
      <c r="T23" s="222">
        <f aca="true" t="shared" si="5" ref="T23:T82">IF(ISERROR(R23*I23*J23),0,R23*I23*J23)</f>
        <v>0</v>
      </c>
      <c r="U23" s="222">
        <f aca="true" t="shared" si="6" ref="U23:U82">IF(ISERROR(R23*J23),0,R23*J23)</f>
        <v>0</v>
      </c>
      <c r="V23" s="223">
        <f aca="true" t="shared" si="7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HOMSPX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31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80</v>
      </c>
      <c r="B24" s="229">
        <v>7</v>
      </c>
      <c r="C24" s="230">
        <v>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Hydrurus sp.</v>
      </c>
      <c r="E24" s="231" t="e">
        <f>IF(D24="",,VLOOKUP(D24,D$22:D23,1,0))</f>
        <v>#N/A</v>
      </c>
      <c r="F24" s="232">
        <f t="shared" si="1"/>
        <v>6.4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Hydrurus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6183</v>
      </c>
      <c r="Q24" s="221">
        <f t="shared" si="2"/>
        <v>6.3999999999999995</v>
      </c>
      <c r="R24" s="222">
        <f t="shared" si="3"/>
        <v>3</v>
      </c>
      <c r="S24" s="222">
        <f t="shared" si="4"/>
        <v>48</v>
      </c>
      <c r="T24" s="222">
        <f t="shared" si="5"/>
        <v>96</v>
      </c>
      <c r="U24" s="234">
        <f t="shared" si="6"/>
        <v>6</v>
      </c>
      <c r="V24" s="223">
        <f t="shared" si="7"/>
      </c>
      <c r="W24" s="224" t="s">
        <v>55</v>
      </c>
      <c r="Y24" s="225" t="str">
        <f>IF(A24="new.cod","NEWCOD",IF(AND((Z24=""),ISTEXT(A24)),A24,IF(Z24="","",INDEX('[1]liste reference'!$A$8:$A$904,Z24))))</f>
        <v>HYUSPX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33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81</v>
      </c>
      <c r="B25" s="229">
        <v>0.006</v>
      </c>
      <c r="C25" s="230">
        <v>0.001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Microspora sp.</v>
      </c>
      <c r="E25" s="231" t="e">
        <f>IF(D25="",,VLOOKUP(D25,D$22:D24,1,0))</f>
        <v>#N/A</v>
      </c>
      <c r="F25" s="232">
        <f t="shared" si="1"/>
        <v>0.0055000000000000005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12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Microspora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1132</v>
      </c>
      <c r="Q25" s="221">
        <f t="shared" si="2"/>
        <v>0.0055000000000000005</v>
      </c>
      <c r="R25" s="222">
        <f t="shared" si="3"/>
        <v>1</v>
      </c>
      <c r="S25" s="222">
        <f t="shared" si="4"/>
        <v>12</v>
      </c>
      <c r="T25" s="222">
        <f t="shared" si="5"/>
        <v>24</v>
      </c>
      <c r="U25" s="234">
        <f t="shared" si="6"/>
        <v>2</v>
      </c>
      <c r="V25" s="223">
        <f t="shared" si="7"/>
      </c>
      <c r="W25" s="224" t="s">
        <v>55</v>
      </c>
      <c r="Y25" s="225" t="str">
        <f>IF(A25="new.cod","NEWCOD",IF(AND((Z25=""),ISTEXT(A25)),A25,IF(Z25="","",INDEX('[1]liste reference'!$A$8:$A$904,Z25))))</f>
        <v>MICSPX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41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82</v>
      </c>
      <c r="B26" s="229">
        <v>0.009</v>
      </c>
      <c r="C26" s="230">
        <v>0.3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Nostoc sp.</v>
      </c>
      <c r="E26" s="231" t="e">
        <f>IF(D26="",,VLOOKUP(D26,D$22:D25,1,0))</f>
        <v>#N/A</v>
      </c>
      <c r="F26" s="232">
        <f t="shared" si="1"/>
        <v>0.0381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9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Nostoc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1105</v>
      </c>
      <c r="Q26" s="221">
        <f t="shared" si="2"/>
        <v>0.038099999999999995</v>
      </c>
      <c r="R26" s="222">
        <f t="shared" si="3"/>
        <v>1</v>
      </c>
      <c r="S26" s="222">
        <f t="shared" si="4"/>
        <v>9</v>
      </c>
      <c r="T26" s="222">
        <f t="shared" si="5"/>
        <v>9</v>
      </c>
      <c r="U26" s="234">
        <f t="shared" si="6"/>
        <v>1</v>
      </c>
      <c r="V26" s="223">
        <f t="shared" si="7"/>
      </c>
      <c r="W26" s="224" t="s">
        <v>55</v>
      </c>
      <c r="Y26" s="225" t="str">
        <f>IF(A26="new.cod","NEWCOD",IF(AND((Z26=""),ISTEXT(A26)),A26,IF(Z26="","",INDEX('[1]liste reference'!$A$8:$A$904,Z26))))</f>
        <v>NOSSPX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54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83</v>
      </c>
      <c r="B27" s="229">
        <v>3.05</v>
      </c>
      <c r="C27" s="230">
        <v>1.5500000000000003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Phormidium sp.</v>
      </c>
      <c r="E27" s="231" t="e">
        <f>IF(D27="",,VLOOKUP(D27,D$22:D26,1,0))</f>
        <v>#N/A</v>
      </c>
      <c r="F27" s="232">
        <f t="shared" si="1"/>
        <v>2.9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Phormidium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6414</v>
      </c>
      <c r="Q27" s="221">
        <f t="shared" si="2"/>
        <v>2.9000000000000004</v>
      </c>
      <c r="R27" s="222">
        <f t="shared" si="3"/>
        <v>3</v>
      </c>
      <c r="S27" s="222">
        <f t="shared" si="4"/>
        <v>39</v>
      </c>
      <c r="T27" s="222">
        <f t="shared" si="5"/>
        <v>78</v>
      </c>
      <c r="U27" s="234">
        <f t="shared" si="6"/>
        <v>6</v>
      </c>
      <c r="V27" s="223">
        <f t="shared" si="7"/>
      </c>
      <c r="W27" s="235" t="s">
        <v>55</v>
      </c>
      <c r="Y27" s="225" t="str">
        <f>IF(A27="new.cod","NEWCOD",IF(AND((Z27=""),ISTEXT(A27)),A27,IF(Z27="","",INDEX('[1]liste reference'!$A$8:$A$904,Z27))))</f>
        <v>PHOSPX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84</v>
      </c>
      <c r="B28" s="229">
        <v>0.0001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Rhizoclonium sp.</v>
      </c>
      <c r="E28" s="231" t="e">
        <f>IF(D28="",,VLOOKUP(D28,D$22:D27,1,0))</f>
        <v>#N/A</v>
      </c>
      <c r="F28" s="232">
        <f t="shared" si="1"/>
        <v>9E-05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4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Rhizoclonium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1125</v>
      </c>
      <c r="Q28" s="221">
        <f t="shared" si="2"/>
        <v>9E-05</v>
      </c>
      <c r="R28" s="222">
        <f t="shared" si="3"/>
        <v>1</v>
      </c>
      <c r="S28" s="222">
        <f t="shared" si="4"/>
        <v>4</v>
      </c>
      <c r="T28" s="222">
        <f t="shared" si="5"/>
        <v>8</v>
      </c>
      <c r="U28" s="234">
        <f t="shared" si="6"/>
        <v>2</v>
      </c>
      <c r="V28" s="223">
        <f t="shared" si="7"/>
      </c>
      <c r="W28" s="224" t="s">
        <v>55</v>
      </c>
      <c r="Y28" s="225" t="str">
        <f>IF(A28="new.cod","NEWCOD",IF(AND((Z28=""),ISTEXT(A28)),A28,IF(Z28="","",INDEX('[1]liste reference'!$A$8:$A$904,Z28))))</f>
        <v>RHISPX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62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85</v>
      </c>
      <c r="B29" s="229">
        <v>0</v>
      </c>
      <c r="C29" s="230">
        <v>0.01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Spirogyra sp.</v>
      </c>
      <c r="E29" s="231" t="e">
        <f>IF(D29="",,VLOOKUP(D29,D$22:D28,1,0))</f>
        <v>#N/A</v>
      </c>
      <c r="F29" s="232">
        <f t="shared" si="1"/>
        <v>0.001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Spirogyra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1147</v>
      </c>
      <c r="Q29" s="221">
        <f t="shared" si="2"/>
        <v>0.001</v>
      </c>
      <c r="R29" s="222">
        <f t="shared" si="3"/>
        <v>1</v>
      </c>
      <c r="S29" s="222">
        <f t="shared" si="4"/>
        <v>10</v>
      </c>
      <c r="T29" s="222">
        <f t="shared" si="5"/>
        <v>10</v>
      </c>
      <c r="U29" s="234">
        <f t="shared" si="6"/>
        <v>1</v>
      </c>
      <c r="V29" s="223">
        <f t="shared" si="7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SPISPX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69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86</v>
      </c>
      <c r="B30" s="229">
        <v>0.0005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Tolypothrix sp.</v>
      </c>
      <c r="E30" s="231" t="e">
        <f>IF(D30="",,VLOOKUP(D30,D$22:D29,1,0))</f>
        <v>#N/A</v>
      </c>
      <c r="F30" s="232">
        <f t="shared" si="1"/>
        <v>0.00045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Tolypothrix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6304</v>
      </c>
      <c r="Q30" s="221">
        <f t="shared" si="2"/>
        <v>0.00045</v>
      </c>
      <c r="R30" s="222">
        <f t="shared" si="3"/>
        <v>1</v>
      </c>
      <c r="S30" s="222">
        <f t="shared" si="4"/>
        <v>0</v>
      </c>
      <c r="T30" s="222">
        <f t="shared" si="5"/>
        <v>0</v>
      </c>
      <c r="U30" s="234">
        <f t="shared" si="6"/>
        <v>0</v>
      </c>
      <c r="V30" s="223">
        <f t="shared" si="7"/>
      </c>
      <c r="W30" s="224" t="s">
        <v>55</v>
      </c>
      <c r="Y30" s="225" t="str">
        <f>IF(A30="new.cod","NEWCOD",IF(AND((Z30=""),ISTEXT(A30)),A30,IF(Z30="","",INDEX('[1]liste reference'!$A$8:$A$904,Z30))))</f>
        <v>TOYSPX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79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87</v>
      </c>
      <c r="B31" s="229">
        <v>0.009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Ulothrix sp.</v>
      </c>
      <c r="E31" s="231" t="e">
        <f>IF(D31="",,VLOOKUP(D31,D$22:D30,1,0))</f>
        <v>#N/A</v>
      </c>
      <c r="F31" s="232">
        <f t="shared" si="1"/>
        <v>0.0081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ALG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2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Ulothrix sp.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1142</v>
      </c>
      <c r="Q31" s="221">
        <f t="shared" si="2"/>
        <v>0.0081</v>
      </c>
      <c r="R31" s="222">
        <f t="shared" si="3"/>
        <v>1</v>
      </c>
      <c r="S31" s="222">
        <f t="shared" si="4"/>
        <v>10</v>
      </c>
      <c r="T31" s="222">
        <f t="shared" si="5"/>
        <v>10</v>
      </c>
      <c r="U31" s="234">
        <f t="shared" si="6"/>
        <v>1</v>
      </c>
      <c r="V31" s="223">
        <f t="shared" si="7"/>
      </c>
      <c r="W31" s="224" t="s">
        <v>55</v>
      </c>
      <c r="Y31" s="225" t="str">
        <f>IF(A31="new.cod","NEWCOD",IF(AND((Z31=""),ISTEXT(A31)),A31,IF(Z31="","",INDEX('[1]liste reference'!$A$8:$A$904,Z31))))</f>
        <v>ULOSPX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81</v>
      </c>
      <c r="AA31" s="226"/>
      <c r="AB31" s="227"/>
      <c r="AC31" s="227"/>
      <c r="BB31" s="8">
        <f t="shared" si="8"/>
        <v>1</v>
      </c>
    </row>
    <row r="32" spans="1:54" ht="12.75">
      <c r="A32" s="228" t="s">
        <v>88</v>
      </c>
      <c r="B32" s="229">
        <v>0.004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Vaucheria sp.</v>
      </c>
      <c r="E32" s="231" t="e">
        <f>IF(D32="",,VLOOKUP(D32,D$22:D31,1,0))</f>
        <v>#N/A</v>
      </c>
      <c r="F32" s="232">
        <f t="shared" si="1"/>
        <v>0.0036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ALG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2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4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Vaucheria sp.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6193</v>
      </c>
      <c r="Q32" s="221">
        <f t="shared" si="2"/>
        <v>0.0036</v>
      </c>
      <c r="R32" s="222">
        <f t="shared" si="3"/>
        <v>1</v>
      </c>
      <c r="S32" s="222">
        <f t="shared" si="4"/>
        <v>4</v>
      </c>
      <c r="T32" s="222">
        <f t="shared" si="5"/>
        <v>4</v>
      </c>
      <c r="U32" s="234">
        <f t="shared" si="6"/>
        <v>1</v>
      </c>
      <c r="V32" s="223">
        <f t="shared" si="7"/>
      </c>
      <c r="W32" s="224" t="s">
        <v>55</v>
      </c>
      <c r="Y32" s="225" t="str">
        <f>IF(A32="new.cod","NEWCOD",IF(AND((Z32=""),ISTEXT(A32)),A32,IF(Z32="","",INDEX('[1]liste reference'!$A$8:$A$904,Z32))))</f>
        <v>VAUSPX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82</v>
      </c>
      <c r="AA32" s="226"/>
      <c r="AB32" s="227"/>
      <c r="AC32" s="227"/>
      <c r="BB32" s="8">
        <f t="shared" si="8"/>
        <v>1</v>
      </c>
    </row>
    <row r="33" spans="1:54" ht="12.75">
      <c r="A33" s="228" t="s">
        <v>89</v>
      </c>
      <c r="B33" s="229">
        <v>0.495</v>
      </c>
      <c r="C33" s="230">
        <v>0.608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Jungermannia atrovirens</v>
      </c>
      <c r="E33" s="231" t="e">
        <f>IF(D33="",,VLOOKUP(D33,D$22:D32,1,0))</f>
        <v>#N/A</v>
      </c>
      <c r="F33" s="232">
        <f t="shared" si="1"/>
        <v>0.5063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BRh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4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19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3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Jungermannia atrovirens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19820</v>
      </c>
      <c r="Q33" s="221">
        <f t="shared" si="2"/>
        <v>0.5063</v>
      </c>
      <c r="R33" s="222">
        <f t="shared" si="3"/>
        <v>2</v>
      </c>
      <c r="S33" s="222">
        <f t="shared" si="4"/>
        <v>38</v>
      </c>
      <c r="T33" s="222">
        <f t="shared" si="5"/>
        <v>114</v>
      </c>
      <c r="U33" s="234">
        <f t="shared" si="6"/>
        <v>6</v>
      </c>
      <c r="V33" s="223">
        <f t="shared" si="7"/>
      </c>
      <c r="W33" s="224" t="s">
        <v>55</v>
      </c>
      <c r="Y33" s="225" t="str">
        <f>IF(A33="new.cod","NEWCOD",IF(AND((Z33=""),ISTEXT(A33)),A33,IF(Z33="","",INDEX('[1]liste reference'!$A$8:$A$904,Z33))))</f>
        <v>JUGATR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101</v>
      </c>
      <c r="AA33" s="226"/>
      <c r="AB33" s="227"/>
      <c r="AC33" s="227"/>
      <c r="BB33" s="8">
        <f t="shared" si="8"/>
        <v>1</v>
      </c>
    </row>
    <row r="34" spans="1:54" ht="12.75">
      <c r="A34" s="228" t="s">
        <v>90</v>
      </c>
      <c r="B34" s="229">
        <v>0</v>
      </c>
      <c r="C34" s="230">
        <v>0.01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Pellia endiviifolia</v>
      </c>
      <c r="E34" s="231" t="e">
        <f>IF(D34="",,VLOOKUP(D34,D$22:D33,1,0))</f>
        <v>#N/A</v>
      </c>
      <c r="F34" s="236">
        <f t="shared" si="1"/>
        <v>0.001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BRh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4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Pellia endiviifolia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1197</v>
      </c>
      <c r="Q34" s="221">
        <f t="shared" si="2"/>
        <v>0.001</v>
      </c>
      <c r="R34" s="222">
        <f t="shared" si="3"/>
        <v>1</v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>
        <f t="shared" si="7"/>
      </c>
      <c r="W34" s="224" t="s">
        <v>55</v>
      </c>
      <c r="Y34" s="225" t="str">
        <f>IF(A34="new.cod","NEWCOD",IF(AND((Z34=""),ISTEXT(A34)),A34,IF(Z34="","",INDEX('[1]liste reference'!$A$8:$A$904,Z34))))</f>
        <v>PELEND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120</v>
      </c>
      <c r="AA34" s="226"/>
      <c r="AB34" s="227"/>
      <c r="AC34" s="227"/>
      <c r="BB34" s="8">
        <f t="shared" si="8"/>
        <v>1</v>
      </c>
    </row>
    <row r="35" spans="1:54" ht="12.75">
      <c r="A35" s="228" t="s">
        <v>91</v>
      </c>
      <c r="B35" s="229">
        <v>5.7</v>
      </c>
      <c r="C35" s="230">
        <v>3.01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Cratoneuron commutatum</v>
      </c>
      <c r="E35" s="231" t="e">
        <f>IF(D35="",,VLOOKUP(D35,D$22:D34,1,0))</f>
        <v>#N/A</v>
      </c>
      <c r="F35" s="236">
        <f t="shared" si="1"/>
        <v>5.431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BRm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5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15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Cratoneuron commutatum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1232</v>
      </c>
      <c r="Q35" s="221">
        <f t="shared" si="2"/>
        <v>5.431</v>
      </c>
      <c r="R35" s="222">
        <f t="shared" si="3"/>
        <v>3</v>
      </c>
      <c r="S35" s="222">
        <f t="shared" si="4"/>
        <v>45</v>
      </c>
      <c r="T35" s="222">
        <f t="shared" si="5"/>
        <v>90</v>
      </c>
      <c r="U35" s="234">
        <f t="shared" si="6"/>
        <v>6</v>
      </c>
      <c r="V35" s="223">
        <f t="shared" si="7"/>
      </c>
      <c r="W35" s="224" t="s">
        <v>55</v>
      </c>
      <c r="Y35" s="225" t="str">
        <f>IF(A35="new.cod","NEWCOD",IF(AND((Z35=""),ISTEXT(A35)),A35,IF(Z35="","",INDEX('[1]liste reference'!$A$8:$A$904,Z35))))</f>
        <v>CRACOM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177</v>
      </c>
      <c r="AA35" s="226"/>
      <c r="AB35" s="227"/>
      <c r="AC35" s="227"/>
      <c r="BB35" s="8">
        <f t="shared" si="8"/>
        <v>1</v>
      </c>
    </row>
    <row r="36" spans="1:54" ht="12.75">
      <c r="A36" s="228" t="s">
        <v>92</v>
      </c>
      <c r="B36" s="229">
        <v>0.005</v>
      </c>
      <c r="C36" s="230">
        <v>0.002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Cratoneuron filicinum</v>
      </c>
      <c r="E36" s="231" t="e">
        <f>IF(D36="",,VLOOKUP(D36,D$22:D35,1,0))</f>
        <v>#N/A</v>
      </c>
      <c r="F36" s="236">
        <f t="shared" si="1"/>
        <v>0.0047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BRm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5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18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3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Cratoneuron filicinum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1233</v>
      </c>
      <c r="Q36" s="221">
        <f t="shared" si="2"/>
        <v>0.0047</v>
      </c>
      <c r="R36" s="222">
        <f t="shared" si="3"/>
        <v>1</v>
      </c>
      <c r="S36" s="222">
        <f t="shared" si="4"/>
        <v>18</v>
      </c>
      <c r="T36" s="222">
        <f t="shared" si="5"/>
        <v>54</v>
      </c>
      <c r="U36" s="234">
        <f t="shared" si="6"/>
        <v>3</v>
      </c>
      <c r="V36" s="223">
        <f t="shared" si="7"/>
      </c>
      <c r="W36" s="224" t="s">
        <v>55</v>
      </c>
      <c r="Y36" s="225" t="str">
        <f>IF(A36="new.cod","NEWCOD",IF(AND((Z36=""),ISTEXT(A36)),A36,IF(Z36="","",INDEX('[1]liste reference'!$A$8:$A$904,Z36))))</f>
        <v>CRAFIL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178</v>
      </c>
      <c r="AA36" s="226"/>
      <c r="AB36" s="227"/>
      <c r="AC36" s="227"/>
      <c r="BB36" s="8">
        <f t="shared" si="8"/>
        <v>1</v>
      </c>
    </row>
    <row r="37" spans="1:54" ht="12.75">
      <c r="A37" s="228" t="s">
        <v>16</v>
      </c>
      <c r="B37" s="229">
        <v>8</v>
      </c>
      <c r="C37" s="230">
        <v>0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Hygrohypnum luridum</v>
      </c>
      <c r="E37" s="231" t="e">
        <f>IF(D37="",,VLOOKUP(D37,D$22:D36,1,0))</f>
        <v>#N/A</v>
      </c>
      <c r="F37" s="236">
        <f t="shared" si="1"/>
        <v>7.2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BRm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5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19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3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Hygrohypnum luridum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1240</v>
      </c>
      <c r="Q37" s="221">
        <f t="shared" si="2"/>
        <v>7.2</v>
      </c>
      <c r="R37" s="222">
        <f t="shared" si="3"/>
        <v>3</v>
      </c>
      <c r="S37" s="222">
        <f t="shared" si="4"/>
        <v>57</v>
      </c>
      <c r="T37" s="222">
        <f t="shared" si="5"/>
        <v>171</v>
      </c>
      <c r="U37" s="234">
        <f t="shared" si="6"/>
        <v>9</v>
      </c>
      <c r="V37" s="223">
        <f t="shared" si="7"/>
      </c>
      <c r="W37" s="224" t="s">
        <v>55</v>
      </c>
      <c r="Y37" s="225" t="str">
        <f>IF(A37="new.cod","NEWCOD",IF(AND((Z37=""),ISTEXT(A37)),A37,IF(Z37="","",INDEX('[1]liste reference'!$A$8:$A$904,Z37))))</f>
        <v>HYGLUR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219</v>
      </c>
      <c r="AA37" s="226"/>
      <c r="AB37" s="227"/>
      <c r="AC37" s="227"/>
      <c r="BB37" s="8">
        <f t="shared" si="8"/>
        <v>1</v>
      </c>
    </row>
    <row r="38" spans="1:54" ht="12.75">
      <c r="A38" s="228" t="s">
        <v>93</v>
      </c>
      <c r="B38" s="229">
        <v>0.1</v>
      </c>
      <c r="C38" s="230">
        <v>9.1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Rhynchostegium riparioides</v>
      </c>
      <c r="E38" s="231" t="e">
        <f>IF(D38="",,VLOOKUP(D38,D$22:D37,1,0))</f>
        <v>#N/A</v>
      </c>
      <c r="F38" s="236">
        <f t="shared" si="1"/>
        <v>1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BRm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5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12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1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Rhynchostegium riparioides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1268</v>
      </c>
      <c r="Q38" s="221">
        <f t="shared" si="2"/>
        <v>1</v>
      </c>
      <c r="R38" s="222">
        <f t="shared" si="3"/>
        <v>3</v>
      </c>
      <c r="S38" s="222">
        <f t="shared" si="4"/>
        <v>36</v>
      </c>
      <c r="T38" s="222">
        <f t="shared" si="5"/>
        <v>36</v>
      </c>
      <c r="U38" s="234">
        <f t="shared" si="6"/>
        <v>3</v>
      </c>
      <c r="V38" s="223">
        <f t="shared" si="7"/>
      </c>
      <c r="W38" s="224" t="s">
        <v>55</v>
      </c>
      <c r="Y38" s="225" t="str">
        <f>IF(A38="new.cod","NEWCOD",IF(AND((Z38=""),ISTEXT(A38)),A38,IF(Z38="","",INDEX('[1]liste reference'!$A$8:$A$904,Z38))))</f>
        <v>RHYRIP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252</v>
      </c>
      <c r="AA38" s="226"/>
      <c r="AB38" s="227"/>
      <c r="AC38" s="227"/>
      <c r="BB38" s="8">
        <f t="shared" si="8"/>
        <v>1</v>
      </c>
    </row>
    <row r="39" spans="1:54" ht="12.75">
      <c r="A39" s="228" t="s">
        <v>94</v>
      </c>
      <c r="B39" s="229">
        <v>0</v>
      </c>
      <c r="C39" s="230">
        <v>0.01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Petasites hybridus</v>
      </c>
      <c r="E39" s="231" t="e">
        <f>IF(D39="",,VLOOKUP(D39,D$22:D38,1,0))</f>
        <v>#N/A</v>
      </c>
      <c r="F39" s="236">
        <f t="shared" si="1"/>
        <v>0.001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PHg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9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Petasites hybridus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1745</v>
      </c>
      <c r="Q39" s="221">
        <f t="shared" si="2"/>
        <v>0.001</v>
      </c>
      <c r="R39" s="222">
        <f t="shared" si="3"/>
        <v>1</v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>
        <f t="shared" si="7"/>
      </c>
      <c r="W39" s="224" t="s">
        <v>55</v>
      </c>
      <c r="Y39" s="225" t="str">
        <f>IF(A39="new.cod","NEWCOD",IF(AND((Z39=""),ISTEXT(A39)),A39,IF(Z39="","",INDEX('[1]liste reference'!$A$8:$A$904,Z39))))</f>
        <v>PETHYB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788</v>
      </c>
      <c r="AA39" s="226"/>
      <c r="AB39" s="227"/>
      <c r="AC39" s="227"/>
      <c r="BB39" s="8">
        <f t="shared" si="8"/>
        <v>1</v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1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>
        <f t="shared" si="7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8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1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>
        <f t="shared" si="7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8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95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EDIAN</v>
      </c>
      <c r="B84" s="265" t="str">
        <f>C3</f>
        <v>EDIAN A ABONDANCE</v>
      </c>
      <c r="C84" s="266">
        <f>A4</f>
        <v>41471</v>
      </c>
      <c r="D84" s="267">
        <f>IF(ISERROR(SUM($T$23:$T$82)/SUM($U$23:$U$82)),"",SUM($T$23:$T$82)/SUM($U$23:$U$82))</f>
        <v>14.97872340425532</v>
      </c>
      <c r="E84" s="268">
        <f>N13</f>
        <v>17</v>
      </c>
      <c r="F84" s="265">
        <f>N14</f>
        <v>13</v>
      </c>
      <c r="G84" s="265">
        <f>N15</f>
        <v>5</v>
      </c>
      <c r="H84" s="265">
        <f>N16</f>
        <v>5</v>
      </c>
      <c r="I84" s="265">
        <f>N17</f>
        <v>3</v>
      </c>
      <c r="J84" s="269">
        <f>N8</f>
        <v>12.384615384615385</v>
      </c>
      <c r="K84" s="267">
        <f>N9</f>
        <v>4.828416869684681</v>
      </c>
      <c r="L84" s="268">
        <f>N10</f>
        <v>4</v>
      </c>
      <c r="M84" s="268">
        <f>N11</f>
        <v>19</v>
      </c>
      <c r="N84" s="267">
        <f>O8</f>
        <v>1.8461538461538463</v>
      </c>
      <c r="O84" s="267">
        <f>O9</f>
        <v>0.7692307692307693</v>
      </c>
      <c r="P84" s="268">
        <f>O10</f>
        <v>1</v>
      </c>
      <c r="Q84" s="268">
        <f>O11</f>
        <v>3</v>
      </c>
      <c r="R84" s="268">
        <f>F21</f>
        <v>23.95084</v>
      </c>
      <c r="S84" s="268">
        <f>K11</f>
        <v>0</v>
      </c>
      <c r="T84" s="268">
        <f>K12</f>
        <v>10</v>
      </c>
      <c r="U84" s="268">
        <f>K13</f>
        <v>6</v>
      </c>
      <c r="V84" s="270">
        <f>K14</f>
        <v>0</v>
      </c>
      <c r="W84" s="271">
        <f>K15</f>
        <v>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96</v>
      </c>
      <c r="R86" s="8"/>
      <c r="S86" s="223"/>
      <c r="T86" s="8"/>
      <c r="U86" s="8"/>
      <c r="V86" s="8"/>
    </row>
    <row r="87" spans="16:22" ht="12.75" hidden="1">
      <c r="P87" s="8"/>
      <c r="Q87" s="8" t="s">
        <v>97</v>
      </c>
      <c r="R87" s="8"/>
      <c r="S87" s="223">
        <f>VLOOKUP(MAX($S$23:$S$82),($S$23:$U$82),1,0)</f>
        <v>57</v>
      </c>
      <c r="T87" s="8"/>
      <c r="U87" s="8"/>
      <c r="V87" s="8"/>
    </row>
    <row r="88" spans="16:22" ht="12.75" hidden="1">
      <c r="P88" s="8"/>
      <c r="Q88" s="8" t="s">
        <v>98</v>
      </c>
      <c r="R88" s="8"/>
      <c r="S88" s="223">
        <f>VLOOKUP((S87),($S$23:$U$82),2,0)</f>
        <v>171</v>
      </c>
      <c r="T88" s="8"/>
      <c r="U88" s="8"/>
      <c r="V88" s="8"/>
    </row>
    <row r="89" spans="17:20" ht="12.75" hidden="1">
      <c r="Q89" s="8" t="s">
        <v>99</v>
      </c>
      <c r="R89" s="8"/>
      <c r="S89" s="223">
        <f>VLOOKUP((S87),($S$23:$U$82),3,0)</f>
        <v>9</v>
      </c>
      <c r="T89" s="8"/>
    </row>
    <row r="90" spans="17:20" ht="12.75">
      <c r="Q90" s="8" t="s">
        <v>100</v>
      </c>
      <c r="R90" s="8"/>
      <c r="S90" s="274">
        <f>IF(ISERROR(SUM($T$23:$T$82)/SUM($U$23:$U$82)),"",(SUM($T$23:$T$82)-S88)/(SUM($U$23:$U$82)-S89))</f>
        <v>14.026315789473685</v>
      </c>
      <c r="T90" s="8"/>
    </row>
    <row r="91" spans="17:21" ht="12.75">
      <c r="Q91" s="222" t="s">
        <v>101</v>
      </c>
      <c r="R91" s="222"/>
      <c r="S91" s="222" t="str">
        <f>INDEX('[1]liste reference'!$A$8:$A$904,$T$91)</f>
        <v>HYGLUR</v>
      </c>
      <c r="T91" s="8">
        <f>IF(ISERROR(MATCH($S$93,'[1]liste reference'!$A$8:$A$904,0)),MATCH($S$93,'[1]liste reference'!$B$8:$B$904,0),(MATCH($S$93,'[1]liste reference'!$A$8:$A$904,0)))</f>
        <v>219</v>
      </c>
      <c r="U91" s="263"/>
    </row>
    <row r="92" spans="17:20" ht="12.75">
      <c r="Q92" s="8" t="s">
        <v>102</v>
      </c>
      <c r="R92" s="8"/>
      <c r="S92" s="8">
        <f>MATCH(S87,$S$23:$S$82,0)</f>
        <v>15</v>
      </c>
      <c r="T92" s="8"/>
    </row>
    <row r="93" spans="17:20" ht="12.75">
      <c r="Q93" s="222" t="s">
        <v>103</v>
      </c>
      <c r="R93" s="8"/>
      <c r="S93" s="222" t="str">
        <f>INDEX($A$23:$A$82,$S$92)</f>
        <v>HYGLUR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2014-04-10T10:09:39Z</dcterms:created>
  <dcterms:modified xsi:type="dcterms:W3CDTF">2014-04-10T10:10:02Z</dcterms:modified>
  <cp:category/>
  <cp:version/>
  <cp:contentType/>
  <cp:contentStatus/>
</cp:coreProperties>
</file>