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<sst xmlns="http://schemas.openxmlformats.org/spreadsheetml/2006/main" count="217" uniqueCount="96">
  <si>
    <t>Relevés floristiques aquatiques - IBMR</t>
  </si>
  <si>
    <t>modèle Irstea-GIS</t>
  </si>
  <si>
    <t>SAGE ENVIRONNEMENT</t>
  </si>
  <si>
    <t>LBOURGOIN MSCHNEIDER</t>
  </si>
  <si>
    <t>EDIAN</t>
  </si>
  <si>
    <t>EDIAN A ABONDANCE</t>
  </si>
  <si>
    <t>06065450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</si>
  <si>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</si>
  <si>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</si>
  <si>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</si>
  <si>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</si>
  <si>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</si>
  <si>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</si>
  <si>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</si>
  <si>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</si>
  <si>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</si>
  <si>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</si>
  <si>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</si>
  <si>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rapide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</si>
  <si>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</si>
  <si>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</si>
  <si>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</si>
  <si>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</si>
  <si>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</si>
  <si>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</si>
  <si>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</si>
  <si>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</si>
  <si>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</si>
  <si>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</si>
  <si>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</si>
  <si>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</si>
  <si>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</si>
  <si>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</si>
  <si>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</si>
  <si>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</si>
  <si>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</si>
  <si>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</si>
  <si>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</si>
  <si>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</si>
  <si>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</si>
  <si>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</si>
  <si>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</si>
  <si>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</si>
  <si>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</si>
  <si>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</si>
  <si>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</si>
  <si>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</si>
  <si>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</si>
  <si>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</si>
  <si>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</si>
  <si>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</si>
  <si>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</si>
  <si>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</si>
  <si>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</si>
  <si>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</si>
  <si>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</si>
  <si>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</si>
  <si>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</si>
  <si>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</si>
  <si>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</si>
  <si>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</si>
  <si>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</si>
  <si>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</si>
  <si>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</si>
  <si>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</si>
  <si>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</si>
  <si>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</si>
  <si>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</si>
  <si>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</si>
  <si>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</si>
  <si>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</si>
  <si>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</si>
  <si>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</si>
  <si>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</si>
  <si>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</si>
  <si>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</si>
  <si>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</si>
  <si>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</si>
  <si>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</si>
  <si>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</si>
  <si>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</si>
  <si>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</si>
  <si>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LETSPX</t>
  </si>
  <si>
    <t>JUGSPX</t>
  </si>
  <si>
    <t>CRAFIL</t>
  </si>
  <si>
    <t>LEORIP</t>
  </si>
  <si>
    <t>RHYRIP</t>
  </si>
  <si>
    <t>PETHYB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</si>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</sst>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EDIAN_25-06-16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42180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14.333333333333334</v>
      </c>
      <c r="N5" s="50"/>
      <c r="O5" s="51" t="s">
        <v>16</v>
      </c>
      <c r="P5" s="52">
        <v>12.666666666666666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98</v>
      </c>
      <c r="C7" s="68">
        <v>2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12.75</v>
      </c>
      <c r="P8" s="85">
        <f>IF(ISERROR(AVERAGE(K23:K82)),"  ",AVERAGE(K23:K82))</f>
        <v>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1.07</v>
      </c>
      <c r="C9" s="88">
        <v>30.06</v>
      </c>
      <c r="D9" s="89"/>
      <c r="E9" s="89"/>
      <c r="F9" s="90">
        <f>($B9*$B$7+$C9*$C$7)/100</f>
        <v>1.6498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4.968651728587948</v>
      </c>
      <c r="P9" s="85">
        <f>IF(ISERROR(STDEVP(K23:K82)),"  ",STDEVP(K23:K82))</f>
        <v>0.7071067811865476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5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18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1.01</v>
      </c>
      <c r="C12" s="114">
        <v>30.01</v>
      </c>
      <c r="D12" s="89"/>
      <c r="E12" s="89"/>
      <c r="F12" s="106">
        <f>($B12*$B$7+$C12*$C$7)/100</f>
        <v>1.59</v>
      </c>
      <c r="G12" s="107"/>
      <c r="H12" s="56"/>
      <c r="I12" s="5"/>
      <c r="J12" s="108" t="s">
        <v>39</v>
      </c>
      <c r="K12" s="109"/>
      <c r="L12" s="110">
        <f>COUNTIF($G$23:$G$82,"=ALG")</f>
        <v>2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0.06</v>
      </c>
      <c r="C13" s="114">
        <v>0.04</v>
      </c>
      <c r="D13" s="89"/>
      <c r="E13" s="89"/>
      <c r="F13" s="106">
        <f>($B13*$B$7+$C13*$C$7)/100</f>
        <v>0.0596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4</v>
      </c>
      <c r="M13" s="111"/>
      <c r="N13" s="120" t="s">
        <v>42</v>
      </c>
      <c r="O13" s="121">
        <f>COUNTIF(F23:F82,"&gt;0")</f>
        <v>7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4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>
        <v>0.01</v>
      </c>
      <c r="D15" s="89"/>
      <c r="E15" s="89"/>
      <c r="F15" s="106">
        <f>($B15*$B$7+$C15*$C$7)/100</f>
        <v>0.0002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1</v>
      </c>
      <c r="M15" s="111"/>
      <c r="N15" s="120" t="s">
        <v>48</v>
      </c>
      <c r="O15" s="121">
        <f>COUNTIF(K23:K82,"=1")</f>
        <v>1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1.07</v>
      </c>
      <c r="C17" s="114">
        <v>30.05</v>
      </c>
      <c r="D17" s="89"/>
      <c r="E17" s="89"/>
      <c r="F17" s="133"/>
      <c r="G17" s="134">
        <f>($B17*$B$7+$C17*$C$7)/100</f>
        <v>1.6496000000000002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0.5714285714285714</v>
      </c>
      <c r="N17" s="120" t="s">
        <v>53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>
        <v>0.01</v>
      </c>
      <c r="D18" s="89"/>
      <c r="E18" s="144" t="s">
        <v>55</v>
      </c>
      <c r="F18" s="133"/>
      <c r="G18" s="134">
        <f>($B18*$B$7+$C18*$C$7)/100</f>
        <v>0.0002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1.6498000000000002</v>
      </c>
      <c r="G19" s="157">
        <f>SUM(G16:G18)</f>
        <v>1.6498000000000002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1.07</v>
      </c>
      <c r="C20" s="167">
        <f>SUM(C23:C62)</f>
        <v>30.060000000000006</v>
      </c>
      <c r="D20" s="168"/>
      <c r="E20" s="169" t="s">
        <v>55</v>
      </c>
      <c r="F20" s="170">
        <f>($B20*$B$7+$C20*$C$7)/100</f>
        <v>1.6498000000000002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1.0486</v>
      </c>
      <c r="C21" s="178">
        <f>C20*C7/100</f>
        <v>0.6012000000000001</v>
      </c>
      <c r="D21" s="179" t="s">
        <v>59</v>
      </c>
      <c r="E21" s="180"/>
      <c r="F21" s="181">
        <f>B21+C21</f>
        <v>1.6498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16</v>
      </c>
      <c r="B23" s="207">
        <v>1</v>
      </c>
      <c r="C23" s="208">
        <v>30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Hydrurus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1.58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Hydrurus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6183</v>
      </c>
      <c r="R23" s="219">
        <f aca="true" t="shared" si="2" ref="R23:R82">IF(ISTEXT(H23),"",(B23*$B$7/100)+(C23*$C$7/100))</f>
        <v>1.58</v>
      </c>
      <c r="S23" s="220">
        <f aca="true" t="shared" si="3" ref="S23:S82">IF(OR(ISTEXT(H23),R23=0),"",IF(R23&lt;0.1,1,IF(R23&lt;1,2,IF(R23&lt;10,3,IF(R23&lt;50,4,IF(R23&gt;=50,5,""))))))</f>
        <v>3</v>
      </c>
      <c r="T23" s="220">
        <f aca="true" t="shared" si="4" ref="T23:T82">IF(ISERROR(S23*J23),0,S23*J23)</f>
        <v>48</v>
      </c>
      <c r="U23" s="220">
        <f aca="true" t="shared" si="5" ref="U23:U82">IF(ISERROR(S23*J23*K23),0,S23*J23*K23)</f>
        <v>96</v>
      </c>
      <c r="V23" s="220">
        <f aca="true" t="shared" si="6" ref="V23:V82">IF(ISERROR(S23*K23),0,S23*K23)</f>
        <v>6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HYUSPX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56</v>
      </c>
    </row>
    <row r="24" spans="1:26" ht="12.75">
      <c r="A24" s="224" t="s">
        <v>82</v>
      </c>
      <c r="B24" s="225">
        <v>0.01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Leptolyngbya sp.</v>
      </c>
      <c r="E24" s="228" t="e">
        <f>IF(D24="",,VLOOKUP(D24,D$22:D23,1,0))</f>
        <v>#N/A</v>
      </c>
      <c r="F24" s="229">
        <f t="shared" si="0"/>
        <v>0.01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 t="str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nc</v>
      </c>
      <c r="K24" s="232" t="str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nc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Leptolyngbya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6449</v>
      </c>
      <c r="R24" s="219">
        <f t="shared" si="2"/>
        <v>0.01</v>
      </c>
      <c r="S24" s="220">
        <f t="shared" si="3"/>
        <v>1</v>
      </c>
      <c r="T24" s="220">
        <f t="shared" si="4"/>
        <v>0</v>
      </c>
      <c r="U24" s="220">
        <f t="shared" si="5"/>
        <v>0</v>
      </c>
      <c r="V24" s="236">
        <f t="shared" si="6"/>
        <v>0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LETSPX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60</v>
      </c>
    </row>
    <row r="25" spans="1:26" ht="12.75">
      <c r="A25" s="224" t="s">
        <v>83</v>
      </c>
      <c r="B25" s="225">
        <v>0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Jungermannia sp.</v>
      </c>
      <c r="E25" s="228" t="e">
        <f>IF(D25="",,VLOOKUP(D25,D$22:D24,1,0))</f>
        <v>#N/A</v>
      </c>
      <c r="F25" s="229">
        <f t="shared" si="0"/>
        <v>0.0002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BRh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4</v>
      </c>
      <c r="I25" s="5">
        <f t="shared" si="1"/>
        <v>1</v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nc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nc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Jungermannia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19826</v>
      </c>
      <c r="R25" s="219">
        <f t="shared" si="2"/>
        <v>0.0002</v>
      </c>
      <c r="S25" s="220">
        <f t="shared" si="3"/>
        <v>1</v>
      </c>
      <c r="T25" s="220">
        <f t="shared" si="4"/>
        <v>0</v>
      </c>
      <c r="U25" s="220">
        <f t="shared" si="5"/>
        <v>0</v>
      </c>
      <c r="V25" s="236">
        <f t="shared" si="6"/>
        <v>0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JUGSPX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148</v>
      </c>
    </row>
    <row r="26" spans="1:26" ht="12.75">
      <c r="A26" s="224" t="s">
        <v>84</v>
      </c>
      <c r="B26" s="225">
        <v>0.01</v>
      </c>
      <c r="C26" s="226">
        <v>0.01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Cratoneuron filicinum</v>
      </c>
      <c r="E26" s="228" t="e">
        <f>IF(D26="",,VLOOKUP(D26,D$22:D25,1,0))</f>
        <v>#N/A</v>
      </c>
      <c r="F26" s="229">
        <f t="shared" si="0"/>
        <v>0.01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18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3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Cratoneuron filicinum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1233</v>
      </c>
      <c r="R26" s="219">
        <f t="shared" si="2"/>
        <v>0.01</v>
      </c>
      <c r="S26" s="220">
        <f t="shared" si="3"/>
        <v>1</v>
      </c>
      <c r="T26" s="220">
        <f t="shared" si="4"/>
        <v>18</v>
      </c>
      <c r="U26" s="220">
        <f t="shared" si="5"/>
        <v>54</v>
      </c>
      <c r="V26" s="236">
        <f t="shared" si="6"/>
        <v>3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CRAFIL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227</v>
      </c>
    </row>
    <row r="27" spans="1:26" ht="12.75">
      <c r="A27" s="224" t="s">
        <v>85</v>
      </c>
      <c r="B27" s="225">
        <v>0.01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Leptodictyum riparium </v>
      </c>
      <c r="E27" s="228" t="e">
        <f>IF(D27="",,VLOOKUP(D27,D$22:D26,1,0))</f>
        <v>#N/A</v>
      </c>
      <c r="F27" s="229">
        <f t="shared" si="0"/>
        <v>0.0098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5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Leptodictyum riparium 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1244</v>
      </c>
      <c r="R27" s="219">
        <f t="shared" si="2"/>
        <v>0.0098</v>
      </c>
      <c r="S27" s="220">
        <f t="shared" si="3"/>
        <v>1</v>
      </c>
      <c r="T27" s="220">
        <f t="shared" si="4"/>
        <v>5</v>
      </c>
      <c r="U27" s="220">
        <f t="shared" si="5"/>
        <v>10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LEORIP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298</v>
      </c>
    </row>
    <row r="28" spans="1:26" ht="12.75">
      <c r="A28" s="224" t="s">
        <v>86</v>
      </c>
      <c r="B28" s="225">
        <v>0.04</v>
      </c>
      <c r="C28" s="226">
        <v>0.02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Rhynchostegium riparioides</v>
      </c>
      <c r="E28" s="228" t="e">
        <f>IF(D28="",,VLOOKUP(D28,D$22:D27,1,0))</f>
        <v>#N/A</v>
      </c>
      <c r="F28" s="229">
        <f t="shared" si="0"/>
        <v>0.039599999999999996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Rhynchostegium riparioides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31691</v>
      </c>
      <c r="R28" s="219">
        <f t="shared" si="2"/>
        <v>0.039599999999999996</v>
      </c>
      <c r="S28" s="220">
        <f t="shared" si="3"/>
        <v>1</v>
      </c>
      <c r="T28" s="220">
        <f t="shared" si="4"/>
        <v>12</v>
      </c>
      <c r="U28" s="220">
        <f t="shared" si="5"/>
        <v>12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RHYRIP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345</v>
      </c>
    </row>
    <row r="29" spans="1:26" ht="12.75">
      <c r="A29" s="224" t="s">
        <v>87</v>
      </c>
      <c r="B29" s="225">
        <v>0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Petasites hybridus</v>
      </c>
      <c r="E29" s="228" t="e">
        <f>IF(D29="",,VLOOKUP(D29,D$22:D28,1,0))</f>
        <v>#N/A</v>
      </c>
      <c r="F29" s="229">
        <f t="shared" si="0"/>
        <v>0.0002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PHg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9</v>
      </c>
      <c r="I29" s="5">
        <f t="shared" si="1"/>
        <v>1</v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nc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nc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Petasites hybridus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1745</v>
      </c>
      <c r="R29" s="219">
        <f t="shared" si="2"/>
        <v>0.0002</v>
      </c>
      <c r="S29" s="220">
        <f t="shared" si="3"/>
        <v>1</v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PETHYB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931</v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1.6498000000000002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12</v>
      </c>
      <c r="W83" s="220"/>
      <c r="X83" s="258"/>
      <c r="Y83" s="258"/>
      <c r="Z83" s="259"/>
    </row>
    <row r="84" spans="1:26" ht="12.75" hidden="1">
      <c r="A84" s="253" t="str">
        <f>A3</f>
        <v>EDIAN</v>
      </c>
      <c r="B84" s="187" t="str">
        <f>C3</f>
        <v>EDIAN A ABONDANCE</v>
      </c>
      <c r="C84" s="260" t="str">
        <f>A4</f>
        <v>(Date)</v>
      </c>
      <c r="D84" s="261">
        <f>IF(OR(ISERROR(SUM($U$23:$U$82)/SUM($V$23:$V$82)),F7&lt;&gt;100),-1,SUM($U$23:$U$82)/SUM($V$23:$V$82))</f>
        <v>14.333333333333334</v>
      </c>
      <c r="E84" s="262">
        <f>O13</f>
        <v>7</v>
      </c>
      <c r="F84" s="187">
        <f>O14</f>
        <v>4</v>
      </c>
      <c r="G84" s="187">
        <f>O15</f>
        <v>1</v>
      </c>
      <c r="H84" s="187">
        <f>O16</f>
        <v>2</v>
      </c>
      <c r="I84" s="187">
        <f>O17</f>
        <v>1</v>
      </c>
      <c r="J84" s="263">
        <f>O8</f>
        <v>12.75</v>
      </c>
      <c r="K84" s="264">
        <f>O9</f>
        <v>4.968651728587948</v>
      </c>
      <c r="L84" s="265">
        <f>O10</f>
        <v>5</v>
      </c>
      <c r="M84" s="265">
        <f>O11</f>
        <v>18</v>
      </c>
      <c r="N84" s="264">
        <f>P8</f>
        <v>2</v>
      </c>
      <c r="O84" s="264">
        <f>P9</f>
        <v>0.7071067811865476</v>
      </c>
      <c r="P84" s="265">
        <f>P10</f>
        <v>1</v>
      </c>
      <c r="Q84" s="265">
        <f>P11</f>
        <v>3</v>
      </c>
      <c r="R84" s="265">
        <f>F21</f>
        <v>1.6498</v>
      </c>
      <c r="S84" s="265">
        <f>L11</f>
        <v>0</v>
      </c>
      <c r="T84" s="265">
        <f>L12</f>
        <v>2</v>
      </c>
      <c r="U84" s="265">
        <f>L13</f>
        <v>4</v>
      </c>
      <c r="V84" s="266">
        <f>L15</f>
        <v>1</v>
      </c>
      <c r="W84" s="267">
        <f>L15</f>
        <v>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48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96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12.666666666666666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HYUSPX</v>
      </c>
      <c r="U91" s="5">
        <f>IF(ISERROR(MATCH($T$93,'[1]liste reference'!$A$6:$A$1174,0)),MATCH($T$93,'[1]liste reference'!$B$6:$B$1174,0),(MATCH($T$93,'[1]liste reference'!$A$6:$A$1174,0)))</f>
        <v>56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HYUSPX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2016-03-01T10:58:33Z</dcterms:created>
  <dcterms:modified xsi:type="dcterms:W3CDTF">2016-03-01T10:58:36Z</dcterms:modified>
  <cp:category/>
  <cp:version/>
  <cp:contentType/>
  <cp:contentStatus/>
</cp:coreProperties>
</file>