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60" windowHeight="927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<sst xmlns="http://schemas.openxmlformats.org/spreadsheetml/2006/main" count="222" uniqueCount="107">
  <si>
    <t>Relevés floristiques aquatiques - IBMR</t>
  </si>
  <si>
    <t xml:space="preserve">Formulaire modèle GIS Macrophytes v 3.1.1 - janvier 2013  </t>
  </si>
  <si>
    <t>SAGE</t>
  </si>
  <si>
    <t>LISEBE SRENAHY</t>
  </si>
  <si>
    <t>conforme AFNOR T90-395 oct. 2003</t>
  </si>
  <si>
    <t>RHONE</t>
  </si>
  <si>
    <t>RHONE DE POUGNY</t>
  </si>
  <si>
    <t>06065700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</si>
  <si>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</si>
  <si>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</si>
  <si>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</si>
  <si>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</si>
  <si>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</si>
  <si>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</si>
  <si>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</si>
  <si>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</si>
  <si>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</si>
  <si>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</si>
  <si>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ch. lotique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</si>
  <si>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</si>
  <si>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</si>
  <si>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</si>
  <si>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</si>
  <si>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</si>
  <si>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</si>
  <si>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</si>
  <si>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</si>
  <si>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</si>
  <si>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</si>
  <si>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</si>
  <si>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</si>
  <si>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</si>
  <si>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</si>
  <si>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</si>
  <si>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</si>
  <si>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</si>
  <si>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</si>
  <si>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</si>
  <si>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</si>
  <si>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</si>
  <si>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</si>
  <si>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</si>
  <si>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</si>
  <si>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</si>
  <si>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</si>
  <si>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</si>
  <si>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</si>
  <si>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</si>
  <si>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</si>
  <si>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</si>
  <si>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</si>
  <si>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</si>
  <si>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</si>
  <si>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</si>
  <si>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</si>
  <si>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</si>
  <si>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</si>
  <si>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</si>
  <si>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</si>
  <si>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</si>
  <si>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</si>
  <si>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</si>
  <si>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</si>
  <si>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</si>
  <si>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</si>
  <si>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</si>
  <si>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</si>
  <si>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</si>
  <si>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</si>
  <si>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</si>
  <si>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</si>
  <si>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</si>
  <si>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</si>
  <si>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</si>
  <si>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</si>
  <si>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</si>
  <si>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</si>
  <si>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</si>
  <si>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</si>
  <si>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BANSPX</t>
  </si>
  <si>
    <t>CLASPX</t>
  </si>
  <si>
    <t>OEDSPX</t>
  </si>
  <si>
    <t>PHOSPX</t>
  </si>
  <si>
    <t>VAUSPX</t>
  </si>
  <si>
    <t>CAECUS</t>
  </si>
  <si>
    <t>EUPCAN</t>
  </si>
  <si>
    <t>JUNSPX</t>
  </si>
  <si>
    <t>LYTSAL</t>
  </si>
  <si>
    <t>MENAQU</t>
  </si>
  <si>
    <t>PHAARU</t>
  </si>
  <si>
    <t>PHRAUS</t>
  </si>
  <si>
    <t>POLHYD</t>
  </si>
  <si>
    <t>REYJAP</t>
  </si>
  <si>
    <t>SCNPUN</t>
  </si>
  <si>
    <t>newcod</t>
  </si>
  <si>
    <t xml:space="preserve">Salix elaeagnos </t>
  </si>
  <si>
    <t>Salix alba</t>
  </si>
  <si>
    <t>Solidago gigantea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</si>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</sst>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RHOPO_23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41540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8.947368421052632</v>
      </c>
      <c r="M5" s="52"/>
      <c r="N5" s="53" t="s">
        <v>16</v>
      </c>
      <c r="O5" s="54">
        <v>8.352941176470589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62</v>
      </c>
      <c r="C7" s="65">
        <v>38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9.2</v>
      </c>
      <c r="O8" s="81">
        <f>IF(ISERROR(AVERAGE(J23:J82)),"      -",AVERAGE(J23:J82))</f>
        <v>1.6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0.56</v>
      </c>
      <c r="C9" s="84">
        <v>0.02</v>
      </c>
      <c r="D9" s="85"/>
      <c r="E9" s="85"/>
      <c r="F9" s="86">
        <f aca="true" t="shared" si="0" ref="F9:F15">($B9*$B$7+$C9*$C$7)/100</f>
        <v>0.35480000000000006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3.0919249667480613</v>
      </c>
      <c r="O9" s="81">
        <f>IF(ISERROR(STDEVP(J23:J82)),"      -",STDEVP(J23:J82))</f>
        <v>0.4898979485566356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14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0.49</v>
      </c>
      <c r="C12" s="115">
        <v>0.01</v>
      </c>
      <c r="D12" s="108"/>
      <c r="E12" s="108"/>
      <c r="F12" s="109">
        <f t="shared" si="0"/>
        <v>0.3076</v>
      </c>
      <c r="G12" s="116"/>
      <c r="H12" s="66"/>
      <c r="I12" s="274" t="s">
        <v>39</v>
      </c>
      <c r="J12" s="265"/>
      <c r="K12" s="111">
        <f>COUNTIF($G$23:$G$82,"=ALG")</f>
        <v>5</v>
      </c>
      <c r="L12" s="119"/>
      <c r="M12" s="120"/>
      <c r="N12" s="121" t="s">
        <v>33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/>
      <c r="C13" s="115"/>
      <c r="D13" s="108"/>
      <c r="E13" s="108"/>
      <c r="F13" s="109">
        <f t="shared" si="0"/>
        <v>0</v>
      </c>
      <c r="G13" s="116"/>
      <c r="H13" s="66"/>
      <c r="I13" s="264" t="s">
        <v>41</v>
      </c>
      <c r="J13" s="265"/>
      <c r="K13" s="111">
        <f>COUNTIF($G$23:$G$82,"=BRm")+COUNTIF($G$23:$G$82,"=BRh")</f>
        <v>1</v>
      </c>
      <c r="L13" s="112"/>
      <c r="M13" s="124" t="s">
        <v>42</v>
      </c>
      <c r="N13" s="125">
        <f>COUNTIF(F23:F82,"&gt;0")</f>
        <v>19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8" t="s">
        <v>45</v>
      </c>
      <c r="N14" s="129">
        <f>COUNTIF($I$23:$I$82,"&gt;-1")</f>
        <v>10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46</v>
      </c>
      <c r="B15" s="132">
        <v>0.07</v>
      </c>
      <c r="C15" s="133">
        <v>0.01</v>
      </c>
      <c r="D15" s="108"/>
      <c r="E15" s="108"/>
      <c r="F15" s="109">
        <f t="shared" si="0"/>
        <v>0.047200000000000006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10</v>
      </c>
      <c r="L15" s="112"/>
      <c r="M15" s="134" t="s">
        <v>48</v>
      </c>
      <c r="N15" s="135">
        <f>COUNTIF(J23:J82,"=1")</f>
        <v>4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50</v>
      </c>
      <c r="N16" s="135">
        <f>COUNTIF(J23:J82,"=2")</f>
        <v>6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0.49</v>
      </c>
      <c r="C17" s="115">
        <v>0.01</v>
      </c>
      <c r="D17" s="108"/>
      <c r="E17" s="108"/>
      <c r="F17" s="139"/>
      <c r="G17" s="109">
        <f>($B17*$B$7+$C17*$C$7)/100</f>
        <v>0.3076</v>
      </c>
      <c r="H17" s="66"/>
      <c r="I17" s="264"/>
      <c r="J17" s="265"/>
      <c r="K17" s="118"/>
      <c r="L17" s="112"/>
      <c r="M17" s="134" t="s">
        <v>52</v>
      </c>
      <c r="N17" s="135">
        <f>COUNTIF(J23:J82,"=3")</f>
        <v>0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>
        <v>0.07</v>
      </c>
      <c r="C18" s="143">
        <v>0.01</v>
      </c>
      <c r="D18" s="108"/>
      <c r="E18" s="144" t="s">
        <v>54</v>
      </c>
      <c r="F18" s="139"/>
      <c r="G18" s="109">
        <f>($B18*$B$7+$C18*$C$7)/100</f>
        <v>0.047200000000000006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0.3548</v>
      </c>
      <c r="G19" s="153">
        <f>SUM(G16:G18)</f>
        <v>0.3548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0.5633802816901409</v>
      </c>
      <c r="C20" s="163">
        <f>SUM(C23:C82)</f>
        <v>0.020986762936221422</v>
      </c>
      <c r="D20" s="164"/>
      <c r="E20" s="165" t="s">
        <v>54</v>
      </c>
      <c r="F20" s="166">
        <f>($B20*$B$7+$C20*$C$7)/100</f>
        <v>0.35727074456365154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0.34929577464788736</v>
      </c>
      <c r="C21" s="176">
        <f>C20*C7/100</f>
        <v>0.00797496991576414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0.3572707445636515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7"/>
      <c r="E22" s="137"/>
      <c r="F22" s="189" t="s">
        <v>62</v>
      </c>
      <c r="G22" s="190" t="s">
        <v>63</v>
      </c>
      <c r="H22" s="137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0.07042253521126761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Bangia sp.</v>
      </c>
      <c r="E23" s="203" t="e">
        <f>IF(D23="",,VLOOKUP(D23,D$22:D22,1,0))</f>
        <v>#N/A</v>
      </c>
      <c r="F23" s="204">
        <f aca="true" t="shared" si="1" ref="F23:F82">($B23*$B$7+$C23*$C$7)/100</f>
        <v>0.04366197183098592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Bangia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1153</v>
      </c>
      <c r="Q23" s="211">
        <f aca="true" t="shared" si="2" ref="Q23:Q82">IF(ISTEXT(H23),"",(B23*$B$7/100)+(C23*$C$7/100))</f>
        <v>0.04366197183098592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10</v>
      </c>
      <c r="T23" s="212">
        <f aca="true" t="shared" si="5" ref="T23:T82">IF(ISERROR(R23*I23*J23),0,R23*I23*J23)</f>
        <v>20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BANSPX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6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80</v>
      </c>
      <c r="B24" s="219">
        <v>0.2112676056338028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21" t="e">
        <f>IF(D24="",,VLOOKUP(D24,D$22:D23,1,0))</f>
        <v>#N/A</v>
      </c>
      <c r="F24" s="222">
        <f t="shared" si="1"/>
        <v>0.13098591549295774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11">
        <f t="shared" si="2"/>
        <v>0.13098591549295774</v>
      </c>
      <c r="R24" s="212">
        <f t="shared" si="3"/>
        <v>2</v>
      </c>
      <c r="S24" s="212">
        <f t="shared" si="4"/>
        <v>12</v>
      </c>
      <c r="T24" s="212">
        <f t="shared" si="5"/>
        <v>12</v>
      </c>
      <c r="U24" s="224">
        <f t="shared" si="6"/>
        <v>2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0.2112676056338028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21" t="e">
        <f>IF(D25="",,VLOOKUP(D25,D$22:D24,1,0))</f>
        <v>#N/A</v>
      </c>
      <c r="F25" s="222">
        <f t="shared" si="1"/>
        <v>0.13098591549295774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11">
        <f t="shared" si="2"/>
        <v>0.13098591549295774</v>
      </c>
      <c r="R25" s="212">
        <f t="shared" si="3"/>
        <v>2</v>
      </c>
      <c r="S25" s="212">
        <f t="shared" si="4"/>
        <v>12</v>
      </c>
      <c r="T25" s="212">
        <f t="shared" si="5"/>
        <v>24</v>
      </c>
      <c r="U25" s="224">
        <f t="shared" si="6"/>
        <v>4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</v>
      </c>
      <c r="C26" s="220">
        <v>0.001311672683513839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21" t="e">
        <f>IF(D26="",,VLOOKUP(D26,D$22:D25,1,0))</f>
        <v>#N/A</v>
      </c>
      <c r="F26" s="222">
        <f t="shared" si="1"/>
        <v>0.0004984356197352588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2"/>
        <v>0.0004984356197352588</v>
      </c>
      <c r="R26" s="212">
        <f t="shared" si="3"/>
        <v>1</v>
      </c>
      <c r="S26" s="212">
        <f t="shared" si="4"/>
        <v>13</v>
      </c>
      <c r="T26" s="212">
        <f t="shared" si="5"/>
        <v>26</v>
      </c>
      <c r="U26" s="224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</v>
      </c>
      <c r="C27" s="220">
        <v>0.001311672683513839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21" t="e">
        <f>IF(D27="",,VLOOKUP(D27,D$22:D26,1,0))</f>
        <v>#N/A</v>
      </c>
      <c r="F27" s="222">
        <f t="shared" si="1"/>
        <v>0.0004984356197352588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11">
        <f t="shared" si="2"/>
        <v>0.0004984356197352588</v>
      </c>
      <c r="R27" s="212">
        <f t="shared" si="3"/>
        <v>1</v>
      </c>
      <c r="S27" s="212">
        <f t="shared" si="4"/>
        <v>4</v>
      </c>
      <c r="T27" s="212">
        <f t="shared" si="5"/>
        <v>4</v>
      </c>
      <c r="U27" s="224">
        <f t="shared" si="6"/>
        <v>1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</v>
      </c>
      <c r="C28" s="220">
        <v>0.001311672683513839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Calliergonella cuspidata</v>
      </c>
      <c r="E28" s="221" t="e">
        <f>IF(D28="",,VLOOKUP(D28,D$22:D27,1,0))</f>
        <v>#N/A</v>
      </c>
      <c r="F28" s="222">
        <f t="shared" si="1"/>
        <v>0.0004984356197352588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Calliergonella cuspidata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1228</v>
      </c>
      <c r="Q28" s="211">
        <f t="shared" si="2"/>
        <v>0.0004984356197352588</v>
      </c>
      <c r="R28" s="212">
        <f t="shared" si="3"/>
        <v>1</v>
      </c>
      <c r="S28" s="212">
        <f t="shared" si="4"/>
        <v>0</v>
      </c>
      <c r="T28" s="212">
        <f t="shared" si="5"/>
        <v>0</v>
      </c>
      <c r="U28" s="224">
        <f t="shared" si="6"/>
        <v>0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CAECUS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169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85</v>
      </c>
      <c r="B29" s="219">
        <v>0</v>
      </c>
      <c r="C29" s="220">
        <v>0.001311672683513839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Eupatorium cannabinum</v>
      </c>
      <c r="E29" s="221" t="e">
        <f>IF(D29="",,VLOOKUP(D29,D$22:D28,1,0))</f>
        <v>#N/A</v>
      </c>
      <c r="F29" s="222">
        <f t="shared" si="1"/>
        <v>0.0004984356197352588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PHe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8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Eupatorium cannabinum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1741</v>
      </c>
      <c r="Q29" s="211">
        <f t="shared" si="2"/>
        <v>0.0004984356197352588</v>
      </c>
      <c r="R29" s="212">
        <f t="shared" si="3"/>
        <v>1</v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EUPCAN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568</v>
      </c>
      <c r="AA29" s="216"/>
      <c r="AB29" s="217"/>
      <c r="AC29" s="217"/>
      <c r="BB29" s="8">
        <f t="shared" si="8"/>
        <v>1</v>
      </c>
    </row>
    <row r="30" spans="1:54" ht="12.75">
      <c r="A30" s="218" t="s">
        <v>16</v>
      </c>
      <c r="B30" s="219">
        <v>0</v>
      </c>
      <c r="C30" s="220">
        <v>0.001311672683513839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Glyceria fluitans</v>
      </c>
      <c r="E30" s="221" t="e">
        <f>IF(D30="",,VLOOKUP(D30,D$22:D29,1,0))</f>
        <v>#N/A</v>
      </c>
      <c r="F30" s="222">
        <f t="shared" si="1"/>
        <v>0.0004984356197352588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14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Glyceria fluitans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1564</v>
      </c>
      <c r="Q30" s="211">
        <f t="shared" si="2"/>
        <v>0.0004984356197352588</v>
      </c>
      <c r="R30" s="212">
        <f t="shared" si="3"/>
        <v>1</v>
      </c>
      <c r="S30" s="212">
        <f t="shared" si="4"/>
        <v>14</v>
      </c>
      <c r="T30" s="212">
        <f t="shared" si="5"/>
        <v>28</v>
      </c>
      <c r="U30" s="224">
        <f t="shared" si="6"/>
        <v>2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GLYFLU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575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0.07042253521126761</v>
      </c>
      <c r="C31" s="220">
        <v>0.001311672683513839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Juncus sp.</v>
      </c>
      <c r="E31" s="221" t="e">
        <f>IF(D31="",,VLOOKUP(D31,D$22:D30,1,0))</f>
        <v>#N/A</v>
      </c>
      <c r="F31" s="222">
        <f t="shared" si="1"/>
        <v>0.044160407450721174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Juncus sp.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1606</v>
      </c>
      <c r="Q31" s="211">
        <f t="shared" si="2"/>
        <v>0.04416040745072118</v>
      </c>
      <c r="R31" s="212">
        <f t="shared" si="3"/>
        <v>1</v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JUNSPX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590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87</v>
      </c>
      <c r="B32" s="219">
        <v>0</v>
      </c>
      <c r="C32" s="220">
        <v>0.001311672683513839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Lythrum salicaria</v>
      </c>
      <c r="E32" s="221" t="e">
        <f>IF(D32="",,VLOOKUP(D32,D$22:D31,1,0))</f>
        <v>#N/A</v>
      </c>
      <c r="F32" s="222">
        <f t="shared" si="1"/>
        <v>0.0004984356197352588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Lythrum salicaria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1823</v>
      </c>
      <c r="Q32" s="211">
        <f t="shared" si="2"/>
        <v>0.0004984356197352588</v>
      </c>
      <c r="R32" s="212">
        <f t="shared" si="3"/>
        <v>1</v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LYTSAL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605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88</v>
      </c>
      <c r="B33" s="219">
        <v>0</v>
      </c>
      <c r="C33" s="220">
        <v>0.001311672683513839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Mentha aquatica</v>
      </c>
      <c r="E33" s="221" t="e">
        <f>IF(D33="",,VLOOKUP(D33,D$22:D32,1,0))</f>
        <v>#N/A</v>
      </c>
      <c r="F33" s="222">
        <f t="shared" si="1"/>
        <v>0.0004984356197352588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Mentha aquatica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1791</v>
      </c>
      <c r="Q33" s="211">
        <f t="shared" si="2"/>
        <v>0.0004984356197352588</v>
      </c>
      <c r="R33" s="212">
        <f t="shared" si="3"/>
        <v>1</v>
      </c>
      <c r="S33" s="212">
        <f t="shared" si="4"/>
        <v>12</v>
      </c>
      <c r="T33" s="212">
        <f t="shared" si="5"/>
        <v>12</v>
      </c>
      <c r="U33" s="224">
        <f t="shared" si="6"/>
        <v>1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MENAQU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607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89</v>
      </c>
      <c r="B34" s="219">
        <v>0</v>
      </c>
      <c r="C34" s="220">
        <v>0.001311672683513839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Phalaris arundinacea</v>
      </c>
      <c r="E34" s="221" t="e">
        <f>IF(D34="",,VLOOKUP(D34,D$22:D33,1,0))</f>
        <v>#N/A</v>
      </c>
      <c r="F34" s="226">
        <f t="shared" si="1"/>
        <v>0.0004984356197352588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Phalaris arundinacea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1577</v>
      </c>
      <c r="Q34" s="211">
        <f t="shared" si="2"/>
        <v>0.0004984356197352588</v>
      </c>
      <c r="R34" s="212">
        <f t="shared" si="3"/>
        <v>1</v>
      </c>
      <c r="S34" s="212">
        <f t="shared" si="4"/>
        <v>10</v>
      </c>
      <c r="T34" s="212">
        <f t="shared" si="5"/>
        <v>10</v>
      </c>
      <c r="U34" s="224">
        <f t="shared" si="6"/>
        <v>1</v>
      </c>
      <c r="V34" s="213">
        <f t="shared" si="7"/>
      </c>
      <c r="W34" s="214" t="s">
        <v>55</v>
      </c>
      <c r="Y34" s="215" t="str">
        <f>IF(A34="new.cod","NEWCOD",IF(AND((Z34=""),ISTEXT(A34)),A34,IF(Z34="","",INDEX('[1]liste reference'!$A$8:$A$904,Z34))))</f>
        <v>PHAARU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634</v>
      </c>
      <c r="AA34" s="216"/>
      <c r="AB34" s="217"/>
      <c r="AC34" s="217"/>
      <c r="BB34" s="8">
        <f t="shared" si="8"/>
        <v>1</v>
      </c>
    </row>
    <row r="35" spans="1:54" ht="12.75">
      <c r="A35" s="218" t="s">
        <v>90</v>
      </c>
      <c r="B35" s="219">
        <v>0</v>
      </c>
      <c r="C35" s="220">
        <v>0.001311672683513839</v>
      </c>
      <c r="D35" s="203" t="str">
        <f>IF(ISERROR(VLOOKUP($A35,'[1]liste reference'!$A$7:$D$904,2,0)),IF(ISERROR(VLOOKUP($A35,'[1]liste reference'!$B$7:$D$904,1,0)),"",VLOOKUP($A35,'[1]liste reference'!$B$7:$D$904,1,0)),VLOOKUP($A35,'[1]liste reference'!$A$7:$D$904,2,0))</f>
        <v>Phragmites australis</v>
      </c>
      <c r="E35" s="221" t="e">
        <f>IF(D35="",,VLOOKUP(D35,D$22:D34,1,0))</f>
        <v>#N/A</v>
      </c>
      <c r="F35" s="226">
        <f t="shared" si="1"/>
        <v>0.0004984356197352588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0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9</v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Phragmites australis</v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1579</v>
      </c>
      <c r="Q35" s="211">
        <f t="shared" si="2"/>
        <v>0.0004984356197352588</v>
      </c>
      <c r="R35" s="212">
        <f t="shared" si="3"/>
        <v>1</v>
      </c>
      <c r="S35" s="212">
        <f t="shared" si="4"/>
        <v>9</v>
      </c>
      <c r="T35" s="212">
        <f t="shared" si="5"/>
        <v>18</v>
      </c>
      <c r="U35" s="224">
        <f t="shared" si="6"/>
        <v>2</v>
      </c>
      <c r="V35" s="213">
        <f t="shared" si="7"/>
      </c>
      <c r="W35" s="214" t="s">
        <v>55</v>
      </c>
      <c r="Y35" s="215" t="str">
        <f>IF(A35="new.cod","NEWCOD",IF(AND((Z35=""),ISTEXT(A35)),A35,IF(Z35="","",INDEX('[1]liste reference'!$A$8:$A$904,Z35))))</f>
        <v>PHRAUS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635</v>
      </c>
      <c r="AA35" s="216"/>
      <c r="AB35" s="217"/>
      <c r="AC35" s="217"/>
      <c r="BB35" s="8">
        <f t="shared" si="8"/>
        <v>1</v>
      </c>
    </row>
    <row r="36" spans="1:54" ht="12.75">
      <c r="A36" s="218" t="s">
        <v>91</v>
      </c>
      <c r="B36" s="219">
        <v>0</v>
      </c>
      <c r="C36" s="220">
        <v>0.001311672683513839</v>
      </c>
      <c r="D36" s="203" t="str">
        <f>IF(ISERROR(VLOOKUP($A36,'[1]liste reference'!$A$7:$D$904,2,0)),IF(ISERROR(VLOOKUP($A36,'[1]liste reference'!$B$7:$D$904,1,0)),"",VLOOKUP($A36,'[1]liste reference'!$B$7:$D$904,1,0)),VLOOKUP($A36,'[1]liste reference'!$A$7:$D$904,2,0))</f>
        <v>Polygonum hydropiper</v>
      </c>
      <c r="E36" s="221" t="e">
        <f>IF(D36="",,VLOOKUP(D36,D$22:D35,1,0))</f>
        <v>#N/A</v>
      </c>
      <c r="F36" s="226">
        <f t="shared" si="1"/>
        <v>0.0004984356197352588</v>
      </c>
      <c r="G36" s="20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0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8</v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0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Polygonum hydropiper</v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1865</v>
      </c>
      <c r="Q36" s="211">
        <f t="shared" si="2"/>
        <v>0.0004984356197352588</v>
      </c>
      <c r="R36" s="212">
        <f t="shared" si="3"/>
        <v>1</v>
      </c>
      <c r="S36" s="212">
        <f t="shared" si="4"/>
        <v>8</v>
      </c>
      <c r="T36" s="212">
        <f t="shared" si="5"/>
        <v>16</v>
      </c>
      <c r="U36" s="224">
        <f t="shared" si="6"/>
        <v>2</v>
      </c>
      <c r="V36" s="213">
        <f t="shared" si="7"/>
      </c>
      <c r="W36" s="214" t="s">
        <v>55</v>
      </c>
      <c r="Y36" s="215" t="str">
        <f>IF(A36="new.cod","NEWCOD",IF(AND((Z36=""),ISTEXT(A36)),A36,IF(Z36="","",INDEX('[1]liste reference'!$A$8:$A$904,Z36))))</f>
        <v>POLHYD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637</v>
      </c>
      <c r="AA36" s="216"/>
      <c r="AB36" s="217"/>
      <c r="AC36" s="217"/>
      <c r="BB36" s="8">
        <f t="shared" si="8"/>
        <v>1</v>
      </c>
    </row>
    <row r="37" spans="1:54" ht="12.75">
      <c r="A37" s="218" t="s">
        <v>92</v>
      </c>
      <c r="B37" s="219">
        <v>0</v>
      </c>
      <c r="C37" s="220">
        <v>0.001311672683513839</v>
      </c>
      <c r="D37" s="203" t="str">
        <f>IF(ISERROR(VLOOKUP($A37,'[1]liste reference'!$A$7:$D$904,2,0)),IF(ISERROR(VLOOKUP($A37,'[1]liste reference'!$B$7:$D$904,1,0)),"",VLOOKUP($A37,'[1]liste reference'!$B$7:$D$904,1,0)),VLOOKUP($A37,'[1]liste reference'!$A$7:$D$904,2,0))</f>
        <v>Reynoutria japonica</v>
      </c>
      <c r="E37" s="221" t="e">
        <f>IF(D37="",,VLOOKUP(D37,D$22:D36,1,0))</f>
        <v>#N/A</v>
      </c>
      <c r="F37" s="226">
        <f t="shared" si="1"/>
        <v>0.0004984356197352588</v>
      </c>
      <c r="G37" s="20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0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Reynoutria japonica</v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19988</v>
      </c>
      <c r="Q37" s="211">
        <f t="shared" si="2"/>
        <v>0.0004984356197352588</v>
      </c>
      <c r="R37" s="212">
        <f t="shared" si="3"/>
        <v>1</v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 t="str">
        <f>IF(A37="new.cod","NEWCOD",IF(AND((Z37=""),ISTEXT(A37)),A37,IF(Z37="","",INDEX('[1]liste reference'!$A$8:$A$904,Z37))))</f>
        <v>REYJAP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644</v>
      </c>
      <c r="AA37" s="216"/>
      <c r="AB37" s="217"/>
      <c r="AC37" s="217"/>
      <c r="BB37" s="8">
        <f t="shared" si="8"/>
        <v>1</v>
      </c>
    </row>
    <row r="38" spans="1:54" ht="12.75">
      <c r="A38" s="218" t="s">
        <v>93</v>
      </c>
      <c r="B38" s="219">
        <v>0</v>
      </c>
      <c r="C38" s="220">
        <v>0.001311672683513839</v>
      </c>
      <c r="D38" s="203" t="str">
        <f>IF(ISERROR(VLOOKUP($A38,'[1]liste reference'!$A$7:$D$904,2,0)),IF(ISERROR(VLOOKUP($A38,'[1]liste reference'!$B$7:$D$904,1,0)),"",VLOOKUP($A38,'[1]liste reference'!$B$7:$D$904,1,0)),VLOOKUP($A38,'[1]liste reference'!$A$7:$D$904,2,0))</f>
        <v>Schoenoplectus pungens</v>
      </c>
      <c r="E38" s="221" t="e">
        <f>IF(D38="",,VLOOKUP(D38,D$22:D37,1,0))</f>
        <v>#N/A</v>
      </c>
      <c r="F38" s="226">
        <f t="shared" si="1"/>
        <v>0.0004984356197352588</v>
      </c>
      <c r="G38" s="20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0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Schoenoplectus pungens</v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19680</v>
      </c>
      <c r="Q38" s="211">
        <f t="shared" si="2"/>
        <v>0.0004984356197352588</v>
      </c>
      <c r="R38" s="212">
        <f t="shared" si="3"/>
        <v>1</v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 t="str">
        <f>IF(A38="new.cod","NEWCOD",IF(AND((Z38=""),ISTEXT(A38)),A38,IF(Z38="","",INDEX('[1]liste reference'!$A$8:$A$904,Z38))))</f>
        <v>SCNPUN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659</v>
      </c>
      <c r="AA38" s="216"/>
      <c r="AB38" s="217"/>
      <c r="AC38" s="217"/>
      <c r="BB38" s="8">
        <f t="shared" si="8"/>
        <v>1</v>
      </c>
    </row>
    <row r="39" spans="1:54" ht="12.75">
      <c r="A39" s="218" t="s">
        <v>94</v>
      </c>
      <c r="B39" s="219">
        <v>0</v>
      </c>
      <c r="C39" s="220">
        <v>0.001311672683513839</v>
      </c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0.0004984356197352588</v>
      </c>
      <c r="G39" s="20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    -</v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Salix elaeagnos </v>
      </c>
      <c r="L39" s="223"/>
      <c r="M39" s="223"/>
      <c r="N39" s="223"/>
      <c r="O39" s="210"/>
      <c r="P39" s="21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 t="str">
        <f>IF(A39="new.cod","NEWCOD",IF(AND((Z39=""),ISTEXT(A39)),A39,IF(Z39="","",INDEX('[1]liste reference'!$A$8:$A$904,Z39))))</f>
        <v>newcod</v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 t="s">
        <v>95</v>
      </c>
      <c r="AC39" s="217"/>
      <c r="BB39" s="8">
        <f t="shared" si="8"/>
        <v>1</v>
      </c>
    </row>
    <row r="40" spans="1:54" ht="12.75">
      <c r="A40" s="218" t="s">
        <v>94</v>
      </c>
      <c r="B40" s="219">
        <v>0</v>
      </c>
      <c r="C40" s="220">
        <v>0.001311672683513839</v>
      </c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0.0004984356197352588</v>
      </c>
      <c r="G40" s="20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    -</v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Salix alba</v>
      </c>
      <c r="L40" s="223"/>
      <c r="M40" s="223"/>
      <c r="N40" s="223"/>
      <c r="O40" s="210"/>
      <c r="P40" s="210" t="str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No</v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 t="str">
        <f>IF(A40="new.cod","NEWCOD",IF(AND((Z40=""),ISTEXT(A40)),A40,IF(Z40="","",INDEX('[1]liste reference'!$A$8:$A$904,Z40))))</f>
        <v>newcod</v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 t="s">
        <v>96</v>
      </c>
      <c r="AC40" s="217"/>
      <c r="BB40" s="8">
        <f t="shared" si="8"/>
        <v>1</v>
      </c>
    </row>
    <row r="41" spans="1:54" ht="12.75">
      <c r="A41" s="218" t="s">
        <v>94</v>
      </c>
      <c r="B41" s="219">
        <v>0</v>
      </c>
      <c r="C41" s="220">
        <v>0.001311672683513839</v>
      </c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0.0004984356197352588</v>
      </c>
      <c r="G41" s="20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    -</v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Solidago gigantea</v>
      </c>
      <c r="L41" s="223"/>
      <c r="M41" s="223"/>
      <c r="N41" s="223"/>
      <c r="O41" s="210"/>
      <c r="P41" s="210" t="str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No</v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 t="str">
        <f>IF(A41="new.cod","NEWCOD",IF(AND((Z41=""),ISTEXT(A41)),A41,IF(Z41="","",INDEX('[1]liste reference'!$A$8:$A$904,Z41))))</f>
        <v>newcod</v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 t="s">
        <v>97</v>
      </c>
      <c r="AC41" s="217"/>
      <c r="BB41" s="8">
        <f t="shared" si="8"/>
        <v>1</v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98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RHONE</v>
      </c>
      <c r="B84" s="254" t="str">
        <f>C3</f>
        <v>RHONE DE POUGNY</v>
      </c>
      <c r="C84" s="255">
        <f>A4</f>
        <v>41540</v>
      </c>
      <c r="D84" s="256">
        <f>IF(ISERROR(SUM($T$23:$T$82)/SUM($U$23:$U$82)),"",SUM($T$23:$T$82)/SUM($U$23:$U$82))</f>
        <v>8.947368421052632</v>
      </c>
      <c r="E84" s="257">
        <f>N13</f>
        <v>19</v>
      </c>
      <c r="F84" s="254">
        <f>N14</f>
        <v>10</v>
      </c>
      <c r="G84" s="254">
        <f>N15</f>
        <v>4</v>
      </c>
      <c r="H84" s="254">
        <f>N16</f>
        <v>6</v>
      </c>
      <c r="I84" s="254">
        <f>N17</f>
        <v>0</v>
      </c>
      <c r="J84" s="258">
        <f>N8</f>
        <v>9.2</v>
      </c>
      <c r="K84" s="256">
        <f>N9</f>
        <v>3.0919249667480613</v>
      </c>
      <c r="L84" s="257">
        <f>N10</f>
        <v>4</v>
      </c>
      <c r="M84" s="257">
        <f>N11</f>
        <v>14</v>
      </c>
      <c r="N84" s="256">
        <f>O8</f>
        <v>1.6</v>
      </c>
      <c r="O84" s="256">
        <f>O9</f>
        <v>0.4898979485566356</v>
      </c>
      <c r="P84" s="257">
        <f>O10</f>
        <v>1</v>
      </c>
      <c r="Q84" s="257">
        <f>O11</f>
        <v>2</v>
      </c>
      <c r="R84" s="257">
        <f>F21</f>
        <v>0.3572707445636515</v>
      </c>
      <c r="S84" s="257">
        <f>K11</f>
        <v>0</v>
      </c>
      <c r="T84" s="257">
        <f>K12</f>
        <v>5</v>
      </c>
      <c r="U84" s="257">
        <f>K13</f>
        <v>1</v>
      </c>
      <c r="V84" s="259">
        <f>K14</f>
        <v>0</v>
      </c>
      <c r="W84" s="260">
        <f>K15</f>
        <v>10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99</v>
      </c>
      <c r="R86" s="8"/>
      <c r="S86" s="213"/>
      <c r="T86" s="8"/>
      <c r="U86" s="8"/>
      <c r="V86" s="8"/>
    </row>
    <row r="87" spans="16:22" ht="12.75" hidden="1">
      <c r="P87" s="8"/>
      <c r="Q87" s="8" t="s">
        <v>100</v>
      </c>
      <c r="R87" s="8"/>
      <c r="S87" s="213">
        <f>VLOOKUP(MAX($S$23:$S$82),($S$23:$U$82),1,0)</f>
        <v>14</v>
      </c>
      <c r="T87" s="8"/>
      <c r="U87" s="8"/>
      <c r="V87" s="8"/>
    </row>
    <row r="88" spans="16:22" ht="12.75" hidden="1">
      <c r="P88" s="8"/>
      <c r="Q88" s="8" t="s">
        <v>101</v>
      </c>
      <c r="R88" s="8"/>
      <c r="S88" s="213">
        <f>VLOOKUP((S87),($S$23:$U$82),2,0)</f>
        <v>28</v>
      </c>
      <c r="T88" s="8"/>
      <c r="U88" s="8"/>
      <c r="V88" s="8"/>
    </row>
    <row r="89" spans="17:20" ht="12.75" hidden="1">
      <c r="Q89" s="8" t="s">
        <v>102</v>
      </c>
      <c r="R89" s="8"/>
      <c r="S89" s="213">
        <f>VLOOKUP((S87),($S$23:$U$82),3,0)</f>
        <v>2</v>
      </c>
      <c r="T89" s="8"/>
    </row>
    <row r="90" spans="17:20" ht="12.75">
      <c r="Q90" s="8" t="s">
        <v>103</v>
      </c>
      <c r="R90" s="8"/>
      <c r="S90" s="263">
        <f>IF(ISERROR(SUM($T$23:$T$82)/SUM($U$23:$U$82)),"",(SUM($T$23:$T$82)-S88)/(SUM($U$23:$U$82)-S89))</f>
        <v>8.352941176470589</v>
      </c>
      <c r="T90" s="8"/>
    </row>
    <row r="91" spans="17:21" ht="12.75">
      <c r="Q91" s="212" t="s">
        <v>104</v>
      </c>
      <c r="R91" s="212"/>
      <c r="S91" s="212" t="str">
        <f>INDEX('[1]liste reference'!$A$8:$A$904,$T$91)</f>
        <v>GLYFLU</v>
      </c>
      <c r="T91" s="8">
        <f>IF(ISERROR(MATCH($S$93,'[1]liste reference'!$A$8:$A$904,0)),MATCH($S$93,'[1]liste reference'!$B$8:$B$904,0),(MATCH($S$93,'[1]liste reference'!$A$8:$A$904,0)))</f>
        <v>575</v>
      </c>
      <c r="U91" s="252"/>
    </row>
    <row r="92" spans="17:20" ht="12.75">
      <c r="Q92" s="8" t="s">
        <v>105</v>
      </c>
      <c r="R92" s="8"/>
      <c r="S92" s="8">
        <f>MATCH(S87,$S$23:$S$82,0)</f>
        <v>8</v>
      </c>
      <c r="T92" s="8"/>
    </row>
    <row r="93" spans="17:20" ht="12.75">
      <c r="Q93" s="212" t="s">
        <v>106</v>
      </c>
      <c r="R93" s="8"/>
      <c r="S93" s="212" t="str">
        <f>INDEX($A$23:$A$82,$S$92)</f>
        <v>GLYFLU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2015-11-26T09:29:02Z</dcterms:created>
  <dcterms:modified xsi:type="dcterms:W3CDTF">2016-02-09T10:10:51Z</dcterms:modified>
  <cp:category/>
  <cp:version/>
  <cp:contentType/>
  <cp:contentStatus/>
</cp:coreProperties>
</file>