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<sst xmlns="http://schemas.openxmlformats.org/spreadsheetml/2006/main" count="217" uniqueCount="96">
  <si>
    <t>Relevés floristiques aquatiques - IBMR</t>
  </si>
  <si>
    <t>modèle Irstea-GIS</t>
  </si>
  <si>
    <t>SAGE</t>
  </si>
  <si>
    <t>C.Bernard S.Renahy</t>
  </si>
  <si>
    <t>Semine</t>
  </si>
  <si>
    <t>Semine à Belleydoux</t>
  </si>
  <si>
    <t>06067760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</si>
  <si>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</si>
  <si>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</si>
  <si>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</si>
  <si>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</si>
  <si>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</si>
  <si>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</si>
  <si>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</si>
  <si>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</si>
  <si>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</si>
  <si>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</si>
  <si>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</si>
  <si>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</si>
  <si>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</si>
  <si>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</si>
  <si>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</si>
  <si>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</si>
  <si>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</si>
  <si>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</si>
  <si>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</si>
  <si>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</si>
  <si>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</si>
  <si>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</si>
  <si>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</si>
  <si>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</si>
  <si>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</si>
  <si>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</si>
  <si>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</si>
  <si>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</si>
  <si>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</si>
  <si>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</si>
  <si>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</si>
  <si>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</si>
  <si>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</si>
  <si>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</si>
  <si>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</si>
  <si>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</si>
  <si>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</si>
  <si>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</si>
  <si>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</si>
  <si>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</si>
  <si>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</si>
  <si>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</si>
  <si>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</si>
  <si>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</si>
  <si>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</si>
  <si>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</si>
  <si>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</si>
  <si>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</si>
  <si>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</si>
  <si>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</si>
  <si>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</si>
  <si>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</si>
  <si>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</si>
  <si>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</si>
  <si>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</si>
  <si>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</si>
  <si>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</si>
  <si>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</si>
  <si>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</si>
  <si>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</si>
  <si>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</si>
  <si>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</si>
  <si>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</si>
  <si>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</si>
  <si>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</si>
  <si>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</si>
  <si>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</si>
  <si>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</si>
  <si>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</si>
  <si>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</si>
  <si>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</si>
  <si>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</si>
  <si>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</si>
  <si>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</si>
  <si>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</si>
  <si>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LEASPX</t>
  </si>
  <si>
    <t>MELSPX</t>
  </si>
  <si>
    <t>ULOSPX</t>
  </si>
  <si>
    <t>CINAQU</t>
  </si>
  <si>
    <t>FONANT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</si>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</sst>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SEBEL_30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W44" sqref="W44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42185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12</v>
      </c>
      <c r="N5" s="50"/>
      <c r="O5" s="51" t="s">
        <v>16</v>
      </c>
      <c r="P5" s="52">
        <v>12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80</v>
      </c>
      <c r="C7" s="68">
        <v>20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11.25</v>
      </c>
      <c r="P8" s="85">
        <f>IF(ISERROR(AVERAGE(K23:K82)),"  ",AVERAGE(K23:K82))</f>
        <v>1.375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0.73</v>
      </c>
      <c r="C9" s="88">
        <v>7.62</v>
      </c>
      <c r="D9" s="89"/>
      <c r="E9" s="89"/>
      <c r="F9" s="90">
        <f>($B9*$B$7+$C9*$C$7)/100</f>
        <v>2.108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2.7726341266023544</v>
      </c>
      <c r="P9" s="85">
        <f>IF(ISERROR(STDEVP(K23:K82)),"  ",STDEVP(K23:K82))</f>
        <v>0.4841229182759271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0.11</v>
      </c>
      <c r="C12" s="114">
        <v>5.31</v>
      </c>
      <c r="D12" s="89"/>
      <c r="E12" s="89"/>
      <c r="F12" s="106">
        <f>($B12*$B$7+$C12*$C$7)/100</f>
        <v>1.15</v>
      </c>
      <c r="G12" s="107"/>
      <c r="H12" s="56"/>
      <c r="I12" s="5"/>
      <c r="J12" s="108" t="s">
        <v>38</v>
      </c>
      <c r="K12" s="109"/>
      <c r="L12" s="110">
        <f>COUNTIF($G$23:$G$82,"=ALG")</f>
        <v>5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0.62</v>
      </c>
      <c r="C13" s="114">
        <v>2.31</v>
      </c>
      <c r="D13" s="89"/>
      <c r="E13" s="89"/>
      <c r="F13" s="106">
        <f>($B13*$B$7+$C13*$C$7)/100</f>
        <v>0.9580000000000001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3</v>
      </c>
      <c r="M13" s="111"/>
      <c r="N13" s="120" t="s">
        <v>41</v>
      </c>
      <c r="O13" s="121">
        <f>COUNTIF(F23:F82,"&gt;0")</f>
        <v>8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8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5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3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0.73</v>
      </c>
      <c r="C17" s="114">
        <v>7.62</v>
      </c>
      <c r="D17" s="89"/>
      <c r="E17" s="89"/>
      <c r="F17" s="133"/>
      <c r="G17" s="134">
        <f>($B17*$B$7+$C17*$C$7)/100</f>
        <v>2.108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2.108</v>
      </c>
      <c r="G19" s="157">
        <f>SUM(G16:G18)</f>
        <v>2.108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0.73</v>
      </c>
      <c r="C20" s="167">
        <f>SUM(C23:C62)</f>
        <v>7.619999999999999</v>
      </c>
      <c r="D20" s="168"/>
      <c r="E20" s="169" t="s">
        <v>54</v>
      </c>
      <c r="F20" s="170">
        <f>($B20*$B$7+$C20*$C$7)/100</f>
        <v>2.1079999999999997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0.584</v>
      </c>
      <c r="C21" s="178">
        <f>C20*C7/100</f>
        <v>1.5239999999999998</v>
      </c>
      <c r="D21" s="179" t="s">
        <v>58</v>
      </c>
      <c r="E21" s="180"/>
      <c r="F21" s="181">
        <f>B21+C21</f>
        <v>2.1079999999999997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0.10000000000000002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0.08200000000000002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0.08200000000000002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16</v>
      </c>
      <c r="B24" s="225">
        <v>0</v>
      </c>
      <c r="C24" s="226">
        <v>5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Diatoma sp.</v>
      </c>
      <c r="E24" s="228" t="e">
        <f>IF(D24="",,VLOOKUP(D24,D$22:D23,1,0))</f>
        <v>#N/A</v>
      </c>
      <c r="F24" s="229">
        <f t="shared" si="0"/>
        <v>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Diatoma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6627</v>
      </c>
      <c r="R24" s="219">
        <f t="shared" si="2"/>
        <v>1</v>
      </c>
      <c r="S24" s="220">
        <f t="shared" si="3"/>
        <v>3</v>
      </c>
      <c r="T24" s="220">
        <f t="shared" si="4"/>
        <v>36</v>
      </c>
      <c r="U24" s="220">
        <f t="shared" si="5"/>
        <v>72</v>
      </c>
      <c r="V24" s="236">
        <f t="shared" si="6"/>
        <v>6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DIASPX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40</v>
      </c>
    </row>
    <row r="25" spans="1:26" ht="12.75">
      <c r="A25" s="224" t="s">
        <v>82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Lemanea sp.</v>
      </c>
      <c r="E25" s="228" t="e">
        <f>IF(D25="",,VLOOKUP(D25,D$22:D24,1,0))</f>
        <v>#N/A</v>
      </c>
      <c r="F25" s="229">
        <f t="shared" si="0"/>
        <v>0.008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15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Lemanea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1159</v>
      </c>
      <c r="R25" s="219">
        <f t="shared" si="2"/>
        <v>0.008</v>
      </c>
      <c r="S25" s="220">
        <f t="shared" si="3"/>
        <v>1</v>
      </c>
      <c r="T25" s="220">
        <f t="shared" si="4"/>
        <v>15</v>
      </c>
      <c r="U25" s="220">
        <f t="shared" si="5"/>
        <v>30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LEASPX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59</v>
      </c>
    </row>
    <row r="26" spans="1:26" ht="12.75">
      <c r="A26" s="224" t="s">
        <v>83</v>
      </c>
      <c r="B26" s="225">
        <v>0</v>
      </c>
      <c r="C26" s="226">
        <v>0.10000000000000002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Melosira sp.</v>
      </c>
      <c r="E26" s="228" t="e">
        <f>IF(D26="",,VLOOKUP(D26,D$22:D25,1,0))</f>
        <v>#N/A</v>
      </c>
      <c r="F26" s="229">
        <f t="shared" si="0"/>
        <v>0.020000000000000004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10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Melosira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8714</v>
      </c>
      <c r="R26" s="219">
        <f t="shared" si="2"/>
        <v>0.020000000000000004</v>
      </c>
      <c r="S26" s="220">
        <f t="shared" si="3"/>
        <v>1</v>
      </c>
      <c r="T26" s="220">
        <f t="shared" si="4"/>
        <v>10</v>
      </c>
      <c r="U26" s="220">
        <f t="shared" si="5"/>
        <v>10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MELSPX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62</v>
      </c>
    </row>
    <row r="27" spans="1:26" ht="12.75">
      <c r="A27" s="224" t="s">
        <v>84</v>
      </c>
      <c r="B27" s="225">
        <v>0</v>
      </c>
      <c r="C27" s="226">
        <v>0.20000000000000004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Ulothrix sp.</v>
      </c>
      <c r="E27" s="228" t="e">
        <f>IF(D27="",,VLOOKUP(D27,D$22:D26,1,0))</f>
        <v>#N/A</v>
      </c>
      <c r="F27" s="229">
        <f t="shared" si="0"/>
        <v>0.04000000000000001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10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Ulothrix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1142</v>
      </c>
      <c r="R27" s="219">
        <f t="shared" si="2"/>
        <v>0.04000000000000001</v>
      </c>
      <c r="S27" s="220">
        <f t="shared" si="3"/>
        <v>1</v>
      </c>
      <c r="T27" s="220">
        <f t="shared" si="4"/>
        <v>10</v>
      </c>
      <c r="U27" s="220">
        <f t="shared" si="5"/>
        <v>10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ULOSPX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116</v>
      </c>
    </row>
    <row r="28" spans="1:26" ht="12.75">
      <c r="A28" s="224" t="s">
        <v>85</v>
      </c>
      <c r="B28" s="225">
        <v>0.01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Cinclidotus aquaticus</v>
      </c>
      <c r="E28" s="228" t="e">
        <f>IF(D28="",,VLOOKUP(D28,D$22:D27,1,0))</f>
        <v>#N/A</v>
      </c>
      <c r="F28" s="229">
        <f t="shared" si="0"/>
        <v>0.01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15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Cinclidotus aquaticus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1318</v>
      </c>
      <c r="R28" s="219">
        <f t="shared" si="2"/>
        <v>0.01</v>
      </c>
      <c r="S28" s="220">
        <f t="shared" si="3"/>
        <v>1</v>
      </c>
      <c r="T28" s="220">
        <f t="shared" si="4"/>
        <v>15</v>
      </c>
      <c r="U28" s="220">
        <f t="shared" si="5"/>
        <v>30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CINAQU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221</v>
      </c>
    </row>
    <row r="29" spans="1:26" ht="12.75">
      <c r="A29" s="224" t="s">
        <v>86</v>
      </c>
      <c r="B29" s="225">
        <v>0.01</v>
      </c>
      <c r="C29" s="226">
        <v>0.3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Fontinalis antipyretica</v>
      </c>
      <c r="E29" s="228" t="e">
        <f>IF(D29="",,VLOOKUP(D29,D$22:D28,1,0))</f>
        <v>#N/A</v>
      </c>
      <c r="F29" s="229">
        <f t="shared" si="0"/>
        <v>0.068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10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Fontinalis antipyretica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1310</v>
      </c>
      <c r="R29" s="219">
        <f t="shared" si="2"/>
        <v>0.068</v>
      </c>
      <c r="S29" s="220">
        <f t="shared" si="3"/>
        <v>1</v>
      </c>
      <c r="T29" s="220">
        <f t="shared" si="4"/>
        <v>10</v>
      </c>
      <c r="U29" s="220">
        <f t="shared" si="5"/>
        <v>10</v>
      </c>
      <c r="V29" s="236">
        <f t="shared" si="6"/>
        <v>1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FONANT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273</v>
      </c>
    </row>
    <row r="30" spans="1:26" ht="12.75">
      <c r="A30" s="224" t="s">
        <v>87</v>
      </c>
      <c r="B30" s="225">
        <v>0.6</v>
      </c>
      <c r="C30" s="226">
        <v>2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Rhynchostegium riparioides</v>
      </c>
      <c r="E30" s="228" t="e">
        <f>IF(D30="",,VLOOKUP(D30,D$22:D29,1,0))</f>
        <v>#N/A</v>
      </c>
      <c r="F30" s="229">
        <f t="shared" si="0"/>
        <v>0.88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12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Rhynchostegium riparioides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31691</v>
      </c>
      <c r="R30" s="219">
        <f t="shared" si="2"/>
        <v>0.88</v>
      </c>
      <c r="S30" s="220">
        <f t="shared" si="3"/>
        <v>2</v>
      </c>
      <c r="T30" s="220">
        <f t="shared" si="4"/>
        <v>24</v>
      </c>
      <c r="U30" s="220">
        <f t="shared" si="5"/>
        <v>24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RHYRIP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345</v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2.108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16</v>
      </c>
      <c r="W83" s="220"/>
      <c r="X83" s="258"/>
      <c r="Y83" s="258"/>
      <c r="Z83" s="259"/>
    </row>
    <row r="84" spans="1:26" ht="12.75" hidden="1">
      <c r="A84" s="253" t="str">
        <f>A3</f>
        <v>Semine</v>
      </c>
      <c r="B84" s="187" t="str">
        <f>C3</f>
        <v>Semine à Belleydoux</v>
      </c>
      <c r="C84" s="260" t="str">
        <f>A4</f>
        <v>(Date)</v>
      </c>
      <c r="D84" s="261">
        <f>IF(OR(ISERROR(SUM($U$23:$U$82)/SUM($V$23:$V$82)),F7&lt;&gt;100),-1,SUM($U$23:$U$82)/SUM($V$23:$V$82))</f>
        <v>12</v>
      </c>
      <c r="E84" s="262">
        <f>O13</f>
        <v>8</v>
      </c>
      <c r="F84" s="187">
        <f>O14</f>
        <v>8</v>
      </c>
      <c r="G84" s="187">
        <f>O15</f>
        <v>5</v>
      </c>
      <c r="H84" s="187">
        <f>O16</f>
        <v>3</v>
      </c>
      <c r="I84" s="187">
        <f>O17</f>
        <v>0</v>
      </c>
      <c r="J84" s="263">
        <f>O8</f>
        <v>11.25</v>
      </c>
      <c r="K84" s="264">
        <f>O9</f>
        <v>2.7726341266023544</v>
      </c>
      <c r="L84" s="265">
        <f>O10</f>
        <v>6</v>
      </c>
      <c r="M84" s="265">
        <f>O11</f>
        <v>15</v>
      </c>
      <c r="N84" s="264">
        <f>P8</f>
        <v>1.375</v>
      </c>
      <c r="O84" s="264">
        <f>P9</f>
        <v>0.4841229182759271</v>
      </c>
      <c r="P84" s="265">
        <f>P10</f>
        <v>1</v>
      </c>
      <c r="Q84" s="265">
        <f>P11</f>
        <v>2</v>
      </c>
      <c r="R84" s="265">
        <f>F21</f>
        <v>2.1079999999999997</v>
      </c>
      <c r="S84" s="265">
        <f>L11</f>
        <v>0</v>
      </c>
      <c r="T84" s="265">
        <f>L12</f>
        <v>5</v>
      </c>
      <c r="U84" s="265">
        <f>L13</f>
        <v>3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88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89</v>
      </c>
      <c r="S87" s="5"/>
      <c r="T87" s="272">
        <f>VLOOKUP($T$91,($A$23:$U$82),20,FALSE)</f>
        <v>36</v>
      </c>
      <c r="U87" s="5"/>
      <c r="V87" s="5"/>
    </row>
    <row r="88" spans="3:22" ht="12.75" hidden="1">
      <c r="C88" s="269"/>
      <c r="D88" s="269"/>
      <c r="E88" s="269"/>
      <c r="R88" s="5" t="s">
        <v>90</v>
      </c>
      <c r="S88" s="5"/>
      <c r="T88" s="272">
        <f>VLOOKUP($T$91,($A$23:$U$82),21,FALSE)</f>
        <v>72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91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92</v>
      </c>
      <c r="S90" s="5" t="s">
        <v>10</v>
      </c>
      <c r="T90" s="273">
        <f>IF(OR(ISERROR(SUM($U$23:$U$82)/SUM($V$23:$V$82)),F7&lt;&gt;100),-1,(SUM($U$23:$U$82)-T88)/(SUM($V$23:$V$82)-T89))</f>
        <v>12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93</v>
      </c>
      <c r="S91" s="220"/>
      <c r="T91" s="220" t="str">
        <f>INDEX('[1]liste reference'!$A$6:$A$1174,$U$91)</f>
        <v>DIASPX</v>
      </c>
      <c r="U91" s="5">
        <f>IF(ISERROR(MATCH($T$93,'[1]liste reference'!$A$6:$A$1174,0)),MATCH($T$93,'[1]liste reference'!$B$6:$B$1174,0),(MATCH($T$93,'[1]liste reference'!$A$6:$A$1174,0)))</f>
        <v>40</v>
      </c>
      <c r="V91" s="274"/>
    </row>
    <row r="92" spans="3:21" ht="12.75" hidden="1">
      <c r="C92" s="269"/>
      <c r="D92" s="269"/>
      <c r="E92" s="269"/>
      <c r="R92" s="5" t="s">
        <v>94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95</v>
      </c>
      <c r="S93" s="5"/>
      <c r="T93" s="220" t="str">
        <f>INDEX($A$23:$A$82,$T$92)</f>
        <v>DIASPX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2016-04-06T12:53:46Z</dcterms:created>
  <dcterms:modified xsi:type="dcterms:W3CDTF">2016-04-06T12:53:49Z</dcterms:modified>
  <cp:category/>
  <cp:version/>
  <cp:contentType/>
  <cp:contentStatus/>
</cp:coreProperties>
</file>