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<sst xmlns="http://schemas.openxmlformats.org/spreadsheetml/2006/main" count="220" uniqueCount="110">
  <si>
    <t>Relevés floristiques aquatiques - IBMR</t>
  </si>
  <si>
    <t xml:space="preserve">Formulaire modèle GIS Macrophytes v 3.1.1 - janvier 2013  </t>
  </si>
  <si>
    <t>SAGE</t>
  </si>
  <si>
    <t>L. BOURGOIN C.BERNARD</t>
  </si>
  <si>
    <t>conforme AFNOR T90-395 oct. 2003</t>
  </si>
  <si>
    <t>FIER</t>
  </si>
  <si>
    <t>FIER A MOTZ</t>
  </si>
  <si>
    <t>06071900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</si>
  <si>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</si>
  <si>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</si>
  <si>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</si>
  <si>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</si>
  <si>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</si>
  <si>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</si>
  <si>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</si>
  <si>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</si>
  <si>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</si>
  <si>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</si>
  <si>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ch. lotique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</si>
  <si>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</si>
  <si>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</si>
  <si>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</si>
  <si>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</si>
  <si>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</si>
  <si>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</si>
  <si>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</si>
  <si>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</si>
  <si>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</si>
  <si>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</si>
  <si>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</si>
  <si>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</si>
  <si>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</si>
  <si>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</si>
  <si>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</si>
  <si>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</si>
  <si>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</si>
  <si>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</si>
  <si>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</si>
  <si>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</si>
  <si>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</si>
  <si>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</si>
  <si>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</si>
  <si>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</si>
  <si>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</si>
  <si>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</si>
  <si>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</si>
  <si>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</si>
  <si>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</si>
  <si>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</si>
  <si>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</si>
  <si>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</si>
  <si>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</si>
  <si>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</si>
  <si>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</si>
  <si>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</si>
  <si>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</si>
  <si>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</si>
  <si>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</si>
  <si>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</si>
  <si>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</si>
  <si>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</si>
  <si>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</si>
  <si>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</si>
  <si>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</si>
  <si>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</si>
  <si>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</si>
  <si>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</si>
  <si>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</si>
  <si>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</si>
  <si>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</si>
  <si>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</si>
  <si>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</si>
  <si>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</si>
  <si>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</si>
  <si>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</si>
  <si>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</si>
  <si>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</si>
  <si>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</si>
  <si>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</si>
  <si>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</si>
  <si>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MELSPX</t>
  </si>
  <si>
    <t>OEDSPX</t>
  </si>
  <si>
    <t>PHOSPX</t>
  </si>
  <si>
    <t>SPISPX</t>
  </si>
  <si>
    <t>TETSPX</t>
  </si>
  <si>
    <t>VAUSPX</t>
  </si>
  <si>
    <t>AMBTEN</t>
  </si>
  <si>
    <t>BRARIV</t>
  </si>
  <si>
    <t>FISCRA</t>
  </si>
  <si>
    <t>FONANT</t>
  </si>
  <si>
    <t>RHYRIP</t>
  </si>
  <si>
    <t>EQUSPX</t>
  </si>
  <si>
    <t>AGRSTO</t>
  </si>
  <si>
    <t>MENLON</t>
  </si>
  <si>
    <t>PHAARU</t>
  </si>
  <si>
    <t>VERANA</t>
  </si>
  <si>
    <t>DESCES</t>
  </si>
  <si>
    <t>RORISL</t>
  </si>
  <si>
    <t>newcod</t>
  </si>
  <si>
    <t>Encyonema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</si>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</sst>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5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15" borderId="32" xfId="0" applyNumberFormat="1" applyFont="1" applyFill="1" applyBorder="1" applyAlignment="1" applyProtection="1">
      <alignment horizontal="right" vertical="top"/>
      <protection hidden="1"/>
    </xf>
    <xf numFmtId="2" fontId="31" fillId="15" borderId="33" xfId="0" applyNumberFormat="1" applyFont="1" applyFill="1" applyBorder="1" applyAlignment="1" applyProtection="1">
      <alignment horizontal="left" vertical="top"/>
      <protection hidden="1"/>
    </xf>
    <xf numFmtId="2" fontId="32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15" borderId="37" xfId="0" applyFont="1" applyFill="1" applyBorder="1" applyAlignment="1" applyProtection="1">
      <alignment horizontal="left"/>
      <protection hidden="1"/>
    </xf>
    <xf numFmtId="0" fontId="25" fillId="15" borderId="38" xfId="0" applyFont="1" applyFill="1" applyBorder="1" applyAlignment="1" applyProtection="1">
      <alignment horizontal="right" vertical="top"/>
      <protection hidden="1"/>
    </xf>
    <xf numFmtId="0" fontId="34" fillId="15" borderId="39" xfId="0" applyFont="1" applyFill="1" applyBorder="1" applyAlignment="1" applyProtection="1">
      <alignment horizontal="center" vertical="top"/>
      <protection hidden="1"/>
    </xf>
    <xf numFmtId="0" fontId="34" fillId="25" borderId="26" xfId="0" applyFont="1" applyFill="1" applyBorder="1" applyAlignment="1" applyProtection="1">
      <alignment horizontal="center" vertical="top"/>
      <protection hidden="1"/>
    </xf>
    <xf numFmtId="0" fontId="35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6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7" fillId="4" borderId="40" xfId="0" applyFont="1" applyFill="1" applyBorder="1" applyAlignment="1" applyProtection="1">
      <alignment horizontal="left" vertical="top"/>
      <protection hidden="1"/>
    </xf>
    <xf numFmtId="0" fontId="38" fillId="4" borderId="22" xfId="0" applyFont="1" applyFill="1" applyBorder="1" applyAlignment="1" applyProtection="1">
      <alignment horizontal="left" vertical="top"/>
      <protection hidden="1"/>
    </xf>
    <xf numFmtId="0" fontId="38" fillId="4" borderId="41" xfId="0" applyFont="1" applyFill="1" applyBorder="1" applyAlignment="1" applyProtection="1">
      <alignment horizontal="left" vertical="top"/>
      <protection hidden="1"/>
    </xf>
    <xf numFmtId="0" fontId="38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9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0" fillId="20" borderId="11" xfId="0" applyNumberFormat="1" applyFont="1" applyFill="1" applyBorder="1" applyAlignment="1" applyProtection="1">
      <alignment horizontal="right"/>
      <protection hidden="1"/>
    </xf>
    <xf numFmtId="177" fontId="40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1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7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8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3" fillId="17" borderId="3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22" xfId="0" applyFont="1" applyFill="1" applyBorder="1" applyAlignment="1" applyProtection="1">
      <alignment/>
      <protection hidden="1"/>
    </xf>
    <xf numFmtId="0" fontId="45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7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6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4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4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6" fillId="17" borderId="79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6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0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6" fillId="17" borderId="11" xfId="0" applyNumberFormat="1" applyFont="1" applyFill="1" applyBorder="1" applyAlignment="1" applyProtection="1">
      <alignment horizontal="center"/>
      <protection hidden="1"/>
    </xf>
    <xf numFmtId="0" fontId="0" fillId="20" borderId="82" xfId="0" applyFill="1" applyBorder="1" applyAlignment="1" applyProtection="1">
      <alignment/>
      <protection hidden="1"/>
    </xf>
    <xf numFmtId="0" fontId="0" fillId="20" borderId="82" xfId="0" applyFill="1" applyBorder="1" applyAlignment="1">
      <alignment/>
    </xf>
    <xf numFmtId="0" fontId="44" fillId="20" borderId="80" xfId="0" applyFont="1" applyFill="1" applyBorder="1" applyAlignment="1" applyProtection="1">
      <alignment horizontal="right"/>
      <protection hidden="1"/>
    </xf>
    <xf numFmtId="0" fontId="44" fillId="20" borderId="80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FIEMOT_17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X26" sqref="X26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41472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10</v>
      </c>
      <c r="M5" s="53"/>
      <c r="N5" s="54" t="s">
        <v>16</v>
      </c>
      <c r="O5" s="55">
        <v>9.513513513513514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85</v>
      </c>
      <c r="C7" s="67">
        <v>15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10.5625</v>
      </c>
      <c r="O8" s="85">
        <f>IF(ISERROR(AVERAGE(J23:J82)),"      -",AVERAGE(J23:J82))</f>
        <v>1.4375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58</v>
      </c>
      <c r="C9" s="88">
        <v>65.9</v>
      </c>
      <c r="D9" s="89"/>
      <c r="E9" s="89"/>
      <c r="F9" s="90">
        <f>($B9*$B$7+$C9*$C$7)/100</f>
        <v>59.185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2.9993488876754566</v>
      </c>
      <c r="O9" s="85">
        <f>IF(ISERROR(STDEVP(J23:J82)),"      -",STDEVP(J23:J82))</f>
        <v>0.49607837082461076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 t="s">
        <v>32</v>
      </c>
      <c r="C10" s="100" t="s">
        <v>33</v>
      </c>
      <c r="D10" s="101"/>
      <c r="E10" s="101"/>
      <c r="F10" s="90"/>
      <c r="G10" s="91"/>
      <c r="H10" s="102"/>
      <c r="I10" s="103"/>
      <c r="J10" s="104" t="s">
        <v>34</v>
      </c>
      <c r="K10" s="104"/>
      <c r="L10" s="105"/>
      <c r="M10" s="106" t="s">
        <v>35</v>
      </c>
      <c r="N10" s="107">
        <f>MIN(I23:I82)</f>
        <v>4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36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37</v>
      </c>
      <c r="J11" s="116"/>
      <c r="K11" s="117">
        <f>COUNTIF($G$23:$G$82,"=HET")</f>
        <v>0</v>
      </c>
      <c r="L11" s="118"/>
      <c r="M11" s="106" t="s">
        <v>38</v>
      </c>
      <c r="N11" s="107">
        <f>MAX(I23:I82)</f>
        <v>15</v>
      </c>
      <c r="O11" s="107">
        <f>MAX(J23:J82)</f>
        <v>2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39</v>
      </c>
      <c r="B12" s="120">
        <v>55.7</v>
      </c>
      <c r="C12" s="121">
        <v>65.6</v>
      </c>
      <c r="D12" s="112"/>
      <c r="E12" s="112"/>
      <c r="F12" s="113">
        <f>($B12*$B$7+$C12*$C$7)/100</f>
        <v>57.185</v>
      </c>
      <c r="G12" s="122"/>
      <c r="H12" s="68"/>
      <c r="I12" s="123" t="s">
        <v>40</v>
      </c>
      <c r="J12" s="124"/>
      <c r="K12" s="117">
        <f>COUNTIF($G$23:$G$82,"=ALG")</f>
        <v>7</v>
      </c>
      <c r="L12" s="125"/>
      <c r="M12" s="126"/>
      <c r="N12" s="127" t="s">
        <v>34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41</v>
      </c>
      <c r="B13" s="120">
        <v>2.3</v>
      </c>
      <c r="C13" s="121">
        <v>0.2</v>
      </c>
      <c r="D13" s="112"/>
      <c r="E13" s="112"/>
      <c r="F13" s="113">
        <f>($B13*$B$7+$C13*$C$7)/100</f>
        <v>1.9849999999999997</v>
      </c>
      <c r="G13" s="122"/>
      <c r="H13" s="68"/>
      <c r="I13" s="130" t="s">
        <v>42</v>
      </c>
      <c r="J13" s="124"/>
      <c r="K13" s="117">
        <f>COUNTIF($G$23:$G$82,"=BRm")+COUNTIF($G$23:$G$82,"=BRh")</f>
        <v>6</v>
      </c>
      <c r="L13" s="118"/>
      <c r="M13" s="131" t="s">
        <v>43</v>
      </c>
      <c r="N13" s="132">
        <f>COUNTIF(F23:F82,"&gt;0")</f>
        <v>21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44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45</v>
      </c>
      <c r="J14" s="124"/>
      <c r="K14" s="117">
        <f>COUNTIF($G$23:$G$82,"=PTE")+COUNTIF($G$23:$G$82,"=LIC")</f>
        <v>1</v>
      </c>
      <c r="L14" s="118"/>
      <c r="M14" s="135" t="s">
        <v>46</v>
      </c>
      <c r="N14" s="136">
        <f>COUNTIF($I$23:$I$82,"&gt;-1")</f>
        <v>16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47</v>
      </c>
      <c r="B15" s="139"/>
      <c r="C15" s="140">
        <v>0.1</v>
      </c>
      <c r="D15" s="112"/>
      <c r="E15" s="112"/>
      <c r="F15" s="113">
        <f>($B15*$B$7+$C15*$C$7)/100</f>
        <v>0.015</v>
      </c>
      <c r="G15" s="122"/>
      <c r="H15" s="68"/>
      <c r="I15" s="130" t="s">
        <v>48</v>
      </c>
      <c r="J15" s="124"/>
      <c r="K15" s="117">
        <f>(COUNTIF($G$23:$G$82,"=PHy"))+(COUNTIF($G$23:$G$82,"=PHe"))+(COUNTIF($G$23:$G$82,"=PHg"))+(COUNTIF($G$23:$G$82,"=PHx"))</f>
        <v>6</v>
      </c>
      <c r="L15" s="118"/>
      <c r="M15" s="141" t="s">
        <v>49</v>
      </c>
      <c r="N15" s="142">
        <f>COUNTIF(J23:J82,"=1")</f>
        <v>9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50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51</v>
      </c>
      <c r="N16" s="142">
        <f>COUNTIF(J23:J82,"=2")</f>
        <v>7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52</v>
      </c>
      <c r="B17" s="120">
        <v>58</v>
      </c>
      <c r="C17" s="121">
        <v>65.8</v>
      </c>
      <c r="D17" s="112"/>
      <c r="E17" s="112"/>
      <c r="F17" s="148"/>
      <c r="G17" s="113">
        <f>($B17*$B$7+$C17*$C$7)/100</f>
        <v>59.17</v>
      </c>
      <c r="H17" s="68"/>
      <c r="I17" s="130"/>
      <c r="J17" s="124"/>
      <c r="K17" s="147"/>
      <c r="L17" s="118"/>
      <c r="M17" s="141" t="s">
        <v>53</v>
      </c>
      <c r="N17" s="142">
        <f>COUNTIF(J23:J82,"=3")</f>
        <v>0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54</v>
      </c>
      <c r="B18" s="150"/>
      <c r="C18" s="151">
        <v>0.1</v>
      </c>
      <c r="D18" s="112"/>
      <c r="E18" s="152" t="s">
        <v>55</v>
      </c>
      <c r="F18" s="148"/>
      <c r="G18" s="113">
        <f>($B18*$B$7+$C18*$C$7)/100</f>
        <v>0.015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56</v>
      </c>
      <c r="W18" s="155" t="s">
        <v>56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59.185</v>
      </c>
      <c r="G19" s="161">
        <f>SUM(G16:G18)</f>
        <v>59.185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56</v>
      </c>
      <c r="W19" s="155" t="s">
        <v>56</v>
      </c>
    </row>
    <row r="20" spans="1:23" ht="12.75">
      <c r="A20" s="169" t="s">
        <v>109</v>
      </c>
      <c r="B20" s="170">
        <f>SUM(B23:B82)</f>
        <v>58.01</v>
      </c>
      <c r="C20" s="171">
        <f>SUM(C23:C82)</f>
        <v>65.96000000000002</v>
      </c>
      <c r="D20" s="172"/>
      <c r="E20" s="173" t="s">
        <v>55</v>
      </c>
      <c r="F20" s="174">
        <f>($B20*$B$7+$C20*$C$7)/100</f>
        <v>59.2025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56</v>
      </c>
      <c r="W20" s="155" t="s">
        <v>56</v>
      </c>
    </row>
    <row r="21" spans="1:23" ht="12.75">
      <c r="A21" s="183" t="s">
        <v>58</v>
      </c>
      <c r="B21" s="184">
        <f>B20*B7/100</f>
        <v>49.308499999999995</v>
      </c>
      <c r="C21" s="184">
        <f>C20*C7/100</f>
        <v>9.894000000000004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59.2025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56</v>
      </c>
      <c r="W21" s="155" t="s">
        <v>56</v>
      </c>
    </row>
    <row r="22" spans="1:29" ht="12.75">
      <c r="A22" s="194" t="s">
        <v>60</v>
      </c>
      <c r="B22" s="195" t="s">
        <v>61</v>
      </c>
      <c r="C22" s="196" t="s">
        <v>61</v>
      </c>
      <c r="D22" s="144"/>
      <c r="E22" s="144"/>
      <c r="F22" s="197" t="s">
        <v>62</v>
      </c>
      <c r="G22" s="198" t="s">
        <v>63</v>
      </c>
      <c r="H22" s="144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11</v>
      </c>
      <c r="C23" s="212">
        <v>7.52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54">($B23*$B$7+$C23*$C$7)/100</f>
        <v>10.478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54">IF(ISTEXT(H23),"",(B23*$B$7/100)+(C23*$C$7/100))</f>
        <v>10.478</v>
      </c>
      <c r="R23" s="222">
        <f aca="true" t="shared" si="2" ref="R23:R54">IF(OR(ISTEXT(H23),Q23=0),"",IF(Q23&lt;0.1,1,IF(Q23&lt;1,2,IF(Q23&lt;10,3,IF(Q23&lt;50,4,IF(Q23&gt;=50,5,""))))))</f>
        <v>4</v>
      </c>
      <c r="S23" s="222">
        <f aca="true" t="shared" si="3" ref="S23:S54">IF(ISERROR(R23*I23),0,R23*I23)</f>
        <v>24</v>
      </c>
      <c r="T23" s="222">
        <f aca="true" t="shared" si="4" ref="T23:T54">IF(ISERROR(R23*I23*J23),0,R23*I23*J23)</f>
        <v>24</v>
      </c>
      <c r="U23" s="222">
        <f aca="true" t="shared" si="5" ref="U23:U54">IF(ISERROR(R23*J23),0,R23*J23)</f>
        <v>4</v>
      </c>
      <c r="V23" s="223">
        <f aca="true" t="shared" si="6" ref="V23:V54">IF(AND(A23="",F23=0),"",IF(F23=0,"Il manque le(s) % de rec. !",""))</f>
      </c>
      <c r="W23" s="224" t="s">
        <v>56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80</v>
      </c>
      <c r="B24" s="229">
        <v>0.05</v>
      </c>
      <c r="C24" s="230">
        <v>25.75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Melosira sp.</v>
      </c>
      <c r="E24" s="231" t="e">
        <f>IF(D24="",,VLOOKUP(D24,D$22:D23,1,0))</f>
        <v>#N/A</v>
      </c>
      <c r="F24" s="232">
        <f t="shared" si="0"/>
        <v>3.905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Melosira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21">
        <f t="shared" si="1"/>
        <v>3.905</v>
      </c>
      <c r="R24" s="222">
        <f t="shared" si="2"/>
        <v>3</v>
      </c>
      <c r="S24" s="222">
        <f t="shared" si="3"/>
        <v>30</v>
      </c>
      <c r="T24" s="222">
        <f t="shared" si="4"/>
        <v>30</v>
      </c>
      <c r="U24" s="234">
        <f t="shared" si="5"/>
        <v>3</v>
      </c>
      <c r="V24" s="223">
        <f t="shared" si="6"/>
      </c>
      <c r="W24" s="224" t="s">
        <v>56</v>
      </c>
      <c r="Y24" s="225" t="str">
        <f>IF(A24="new.cod","NEWCOD",IF(AND((Z24=""),ISTEXT(A24)),A24,IF(Z24="","",INDEX('[1]liste reference'!$A$8:$A$904,Z24))))</f>
        <v>MELSPX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44.01</v>
      </c>
      <c r="C25" s="230">
        <v>11.76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31" t="e">
        <f>IF(D25="",,VLOOKUP(D25,D$22:D24,1,0))</f>
        <v>#N/A</v>
      </c>
      <c r="F25" s="232">
        <f t="shared" si="0"/>
        <v>39.1725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21">
        <f t="shared" si="1"/>
        <v>39.1725</v>
      </c>
      <c r="R25" s="222">
        <f t="shared" si="2"/>
        <v>4</v>
      </c>
      <c r="S25" s="222">
        <f t="shared" si="3"/>
        <v>24</v>
      </c>
      <c r="T25" s="222">
        <f t="shared" si="4"/>
        <v>48</v>
      </c>
      <c r="U25" s="234">
        <f t="shared" si="5"/>
        <v>8</v>
      </c>
      <c r="V25" s="223">
        <f t="shared" si="6"/>
      </c>
      <c r="W25" s="224" t="s">
        <v>56</v>
      </c>
      <c r="Y25" s="225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0.1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31" t="e">
        <f>IF(D26="",,VLOOKUP(D26,D$22:D25,1,0))</f>
        <v>#N/A</v>
      </c>
      <c r="F26" s="232">
        <f t="shared" si="0"/>
        <v>0.085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1">
        <f t="shared" si="1"/>
        <v>0.085</v>
      </c>
      <c r="R26" s="222">
        <f t="shared" si="2"/>
        <v>1</v>
      </c>
      <c r="S26" s="222">
        <f t="shared" si="3"/>
        <v>13</v>
      </c>
      <c r="T26" s="222">
        <f t="shared" si="4"/>
        <v>26</v>
      </c>
      <c r="U26" s="234">
        <f t="shared" si="5"/>
        <v>2</v>
      </c>
      <c r="V26" s="223">
        <f t="shared" si="6"/>
      </c>
      <c r="W26" s="224" t="s">
        <v>56</v>
      </c>
      <c r="Y26" s="22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0</v>
      </c>
      <c r="C27" s="230">
        <v>0.5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31" t="e">
        <f>IF(D27="",,VLOOKUP(D27,D$22:D26,1,0))</f>
        <v>#N/A</v>
      </c>
      <c r="F27" s="232">
        <f t="shared" si="0"/>
        <v>0.075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21">
        <f t="shared" si="1"/>
        <v>0.075</v>
      </c>
      <c r="R27" s="222">
        <f t="shared" si="2"/>
        <v>1</v>
      </c>
      <c r="S27" s="222">
        <f t="shared" si="3"/>
        <v>10</v>
      </c>
      <c r="T27" s="222">
        <f t="shared" si="4"/>
        <v>10</v>
      </c>
      <c r="U27" s="234">
        <f t="shared" si="5"/>
        <v>1</v>
      </c>
      <c r="V27" s="223">
        <f t="shared" si="6"/>
      </c>
      <c r="W27" s="235" t="s">
        <v>56</v>
      </c>
      <c r="Y27" s="225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Tetraspora sp.</v>
      </c>
      <c r="E28" s="231" t="e">
        <f>IF(D28="",,VLOOKUP(D28,D$22:D27,1,0))</f>
        <v>#N/A</v>
      </c>
      <c r="F28" s="232">
        <f t="shared" si="0"/>
        <v>0.0015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Tetraspora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1138</v>
      </c>
      <c r="Q28" s="221">
        <f t="shared" si="1"/>
        <v>0.0015</v>
      </c>
      <c r="R28" s="222">
        <f t="shared" si="2"/>
        <v>1</v>
      </c>
      <c r="S28" s="222">
        <f t="shared" si="3"/>
        <v>12</v>
      </c>
      <c r="T28" s="222">
        <f t="shared" si="4"/>
        <v>12</v>
      </c>
      <c r="U28" s="234">
        <f t="shared" si="5"/>
        <v>1</v>
      </c>
      <c r="V28" s="223">
        <f t="shared" si="6"/>
      </c>
      <c r="W28" s="224" t="s">
        <v>56</v>
      </c>
      <c r="Y28" s="225" t="str">
        <f>IF(A28="new.cod","NEWCOD",IF(AND((Z28=""),ISTEXT(A28)),A28,IF(Z28="","",INDEX('[1]liste reference'!$A$8:$A$904,Z28))))</f>
        <v>TETSPX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73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85</v>
      </c>
      <c r="B29" s="229">
        <v>0.54</v>
      </c>
      <c r="C29" s="230">
        <v>20.110000000000003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Vaucheria sp.</v>
      </c>
      <c r="E29" s="231" t="e">
        <f>IF(D29="",,VLOOKUP(D29,D$22:D28,1,0))</f>
        <v>#N/A</v>
      </c>
      <c r="F29" s="232">
        <f t="shared" si="0"/>
        <v>3.4755000000000007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4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Vaucheria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6193</v>
      </c>
      <c r="Q29" s="221">
        <f t="shared" si="1"/>
        <v>3.4755000000000003</v>
      </c>
      <c r="R29" s="222">
        <f t="shared" si="2"/>
        <v>3</v>
      </c>
      <c r="S29" s="222">
        <f t="shared" si="3"/>
        <v>12</v>
      </c>
      <c r="T29" s="222">
        <f t="shared" si="4"/>
        <v>12</v>
      </c>
      <c r="U29" s="234">
        <f t="shared" si="5"/>
        <v>3</v>
      </c>
      <c r="V29" s="223">
        <f t="shared" si="6"/>
      </c>
      <c r="W29" s="224" t="s">
        <v>56</v>
      </c>
      <c r="X29" s="224"/>
      <c r="Y29" s="225" t="str">
        <f>IF(A29="new.cod","NEWCOD",IF(AND((Z29=""),ISTEXT(A29)),A29,IF(Z29="","",INDEX('[1]liste reference'!$A$8:$A$904,Z29))))</f>
        <v>VAUSPX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82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86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Amblystegium tenax</v>
      </c>
      <c r="E30" s="231" t="e">
        <f>IF(D30="",,VLOOKUP(D30,D$22:D29,1,0))</f>
        <v>#N/A</v>
      </c>
      <c r="F30" s="232">
        <f t="shared" si="0"/>
        <v>0.0015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15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Amblystegium tenax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10210</v>
      </c>
      <c r="Q30" s="221">
        <f t="shared" si="1"/>
        <v>0.0015</v>
      </c>
      <c r="R30" s="222">
        <f t="shared" si="2"/>
        <v>1</v>
      </c>
      <c r="S30" s="222">
        <f t="shared" si="3"/>
        <v>15</v>
      </c>
      <c r="T30" s="222">
        <f t="shared" si="4"/>
        <v>30</v>
      </c>
      <c r="U30" s="234">
        <f t="shared" si="5"/>
        <v>2</v>
      </c>
      <c r="V30" s="223">
        <f t="shared" si="6"/>
      </c>
      <c r="W30" s="224" t="s">
        <v>56</v>
      </c>
      <c r="Y30" s="225" t="str">
        <f>IF(A30="new.cod","NEWCOD",IF(AND((Z30=""),ISTEXT(A30)),A30,IF(Z30="","",INDEX('[1]liste reference'!$A$8:$A$904,Z30))))</f>
        <v>AMBTEN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150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87</v>
      </c>
      <c r="B31" s="229">
        <v>0.3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Brachythecium rivulare</v>
      </c>
      <c r="E31" s="231" t="e">
        <f>IF(D31="",,VLOOKUP(D31,D$22:D30,1,0))</f>
        <v>#N/A</v>
      </c>
      <c r="F31" s="232">
        <f t="shared" si="0"/>
        <v>0.255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15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Brachythecium rivulare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1260</v>
      </c>
      <c r="Q31" s="221">
        <f t="shared" si="1"/>
        <v>0.255</v>
      </c>
      <c r="R31" s="222">
        <f t="shared" si="2"/>
        <v>2</v>
      </c>
      <c r="S31" s="222">
        <f t="shared" si="3"/>
        <v>30</v>
      </c>
      <c r="T31" s="222">
        <f t="shared" si="4"/>
        <v>60</v>
      </c>
      <c r="U31" s="234">
        <f t="shared" si="5"/>
        <v>4</v>
      </c>
      <c r="V31" s="223">
        <f t="shared" si="6"/>
      </c>
      <c r="W31" s="224" t="s">
        <v>56</v>
      </c>
      <c r="Y31" s="225" t="str">
        <f>IF(A31="new.cod","NEWCOD",IF(AND((Z31=""),ISTEXT(A31)),A31,IF(Z31="","",INDEX('[1]liste reference'!$A$8:$A$904,Z31))))</f>
        <v>BRARIV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155</v>
      </c>
      <c r="AA31" s="226"/>
      <c r="AB31" s="227"/>
      <c r="AC31" s="227"/>
      <c r="BB31" s="8">
        <f t="shared" si="7"/>
        <v>1</v>
      </c>
    </row>
    <row r="32" spans="1:54" ht="12.75">
      <c r="A32" s="228" t="s">
        <v>16</v>
      </c>
      <c r="B32" s="229">
        <v>1.5</v>
      </c>
      <c r="C32" s="230">
        <v>0.1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Cinclidotus riparius</v>
      </c>
      <c r="E32" s="231" t="e">
        <f>IF(D32="",,VLOOKUP(D32,D$22:D31,1,0))</f>
        <v>#N/A</v>
      </c>
      <c r="F32" s="232">
        <f t="shared" si="0"/>
        <v>1.29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13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Cinclidotus riparius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1321</v>
      </c>
      <c r="Q32" s="221">
        <f t="shared" si="1"/>
        <v>1.2899999999999998</v>
      </c>
      <c r="R32" s="222">
        <f t="shared" si="2"/>
        <v>3</v>
      </c>
      <c r="S32" s="222">
        <f t="shared" si="3"/>
        <v>39</v>
      </c>
      <c r="T32" s="222">
        <f t="shared" si="4"/>
        <v>78</v>
      </c>
      <c r="U32" s="234">
        <f t="shared" si="5"/>
        <v>6</v>
      </c>
      <c r="V32" s="223">
        <f t="shared" si="6"/>
      </c>
      <c r="W32" s="224" t="s">
        <v>56</v>
      </c>
      <c r="Y32" s="225" t="str">
        <f>IF(A32="new.cod","NEWCOD",IF(AND((Z32=""),ISTEXT(A32)),A32,IF(Z32="","",INDEX('[1]liste reference'!$A$8:$A$904,Z32))))</f>
        <v>CINRIP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174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88</v>
      </c>
      <c r="B33" s="229">
        <v>0</v>
      </c>
      <c r="C33" s="230">
        <v>0.01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Fissidens crassipes</v>
      </c>
      <c r="E33" s="231" t="e">
        <f>IF(D33="",,VLOOKUP(D33,D$22:D32,1,0))</f>
        <v>#N/A</v>
      </c>
      <c r="F33" s="232">
        <f t="shared" si="0"/>
        <v>0.0015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Fissidens crassipes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1294</v>
      </c>
      <c r="Q33" s="221">
        <f t="shared" si="1"/>
        <v>0.0015</v>
      </c>
      <c r="R33" s="222">
        <f t="shared" si="2"/>
        <v>1</v>
      </c>
      <c r="S33" s="222">
        <f t="shared" si="3"/>
        <v>12</v>
      </c>
      <c r="T33" s="222">
        <f t="shared" si="4"/>
        <v>24</v>
      </c>
      <c r="U33" s="234">
        <f t="shared" si="5"/>
        <v>2</v>
      </c>
      <c r="V33" s="223">
        <f t="shared" si="6"/>
      </c>
      <c r="W33" s="224" t="s">
        <v>56</v>
      </c>
      <c r="Y33" s="225" t="str">
        <f>IF(A33="new.cod","NEWCOD",IF(AND((Z33=""),ISTEXT(A33)),A33,IF(Z33="","",INDEX('[1]liste reference'!$A$8:$A$904,Z33))))</f>
        <v>FISCRA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197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89</v>
      </c>
      <c r="B34" s="229">
        <v>0.01</v>
      </c>
      <c r="C34" s="230">
        <v>0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Fontinalis antipyretica</v>
      </c>
      <c r="E34" s="231" t="e">
        <f>IF(D34="",,VLOOKUP(D34,D$22:D33,1,0))</f>
        <v>#N/A</v>
      </c>
      <c r="F34" s="236">
        <f t="shared" si="0"/>
        <v>0.0085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10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Fontinalis antipyretica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1310</v>
      </c>
      <c r="Q34" s="221">
        <f t="shared" si="1"/>
        <v>0.0085</v>
      </c>
      <c r="R34" s="222">
        <f t="shared" si="2"/>
        <v>1</v>
      </c>
      <c r="S34" s="222">
        <f t="shared" si="3"/>
        <v>10</v>
      </c>
      <c r="T34" s="222">
        <f t="shared" si="4"/>
        <v>10</v>
      </c>
      <c r="U34" s="234">
        <f t="shared" si="5"/>
        <v>1</v>
      </c>
      <c r="V34" s="223">
        <f t="shared" si="6"/>
      </c>
      <c r="W34" s="224" t="s">
        <v>56</v>
      </c>
      <c r="Y34" s="225" t="str">
        <f>IF(A34="new.cod","NEWCOD",IF(AND((Z34=""),ISTEXT(A34)),A34,IF(Z34="","",INDEX('[1]liste reference'!$A$8:$A$904,Z34))))</f>
        <v>FONANT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210</v>
      </c>
      <c r="AA34" s="226"/>
      <c r="AB34" s="227"/>
      <c r="AC34" s="227"/>
      <c r="BB34" s="8">
        <f t="shared" si="7"/>
        <v>1</v>
      </c>
    </row>
    <row r="35" spans="1:54" ht="12.75">
      <c r="A35" s="228" t="s">
        <v>90</v>
      </c>
      <c r="B35" s="229">
        <v>0.5</v>
      </c>
      <c r="C35" s="230">
        <v>0.1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Rhynchostegium riparioides</v>
      </c>
      <c r="E35" s="231" t="e">
        <f>IF(D35="",,VLOOKUP(D35,D$22:D34,1,0))</f>
        <v>#N/A</v>
      </c>
      <c r="F35" s="236">
        <f t="shared" si="0"/>
        <v>0.44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BRm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5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12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Rhynchostegium riparioides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1268</v>
      </c>
      <c r="Q35" s="221">
        <f t="shared" si="1"/>
        <v>0.44</v>
      </c>
      <c r="R35" s="222">
        <f t="shared" si="2"/>
        <v>2</v>
      </c>
      <c r="S35" s="222">
        <f t="shared" si="3"/>
        <v>24</v>
      </c>
      <c r="T35" s="222">
        <f t="shared" si="4"/>
        <v>24</v>
      </c>
      <c r="U35" s="234">
        <f t="shared" si="5"/>
        <v>2</v>
      </c>
      <c r="V35" s="223">
        <f t="shared" si="6"/>
      </c>
      <c r="W35" s="224" t="s">
        <v>56</v>
      </c>
      <c r="Y35" s="225" t="str">
        <f>IF(A35="new.cod","NEWCOD",IF(AND((Z35=""),ISTEXT(A35)),A35,IF(Z35="","",INDEX('[1]liste reference'!$A$8:$A$904,Z35))))</f>
        <v>RHYRIP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252</v>
      </c>
      <c r="AA35" s="226"/>
      <c r="AB35" s="227"/>
      <c r="AC35" s="227"/>
      <c r="BB35" s="8">
        <f t="shared" si="7"/>
        <v>1</v>
      </c>
    </row>
    <row r="36" spans="1:54" ht="12.75">
      <c r="A36" s="228" t="s">
        <v>91</v>
      </c>
      <c r="B36" s="229">
        <v>0</v>
      </c>
      <c r="C36" s="230">
        <v>0.01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Equisetum sp.</v>
      </c>
      <c r="E36" s="231" t="e">
        <f>IF(D36="",,VLOOKUP(D36,D$22:D35,1,0))</f>
        <v>#N/A</v>
      </c>
      <c r="F36" s="236">
        <f t="shared" si="0"/>
        <v>0.0015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PTE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6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Equisetum sp.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1383</v>
      </c>
      <c r="Q36" s="221">
        <f t="shared" si="1"/>
        <v>0.0015</v>
      </c>
      <c r="R36" s="222">
        <f t="shared" si="2"/>
        <v>1</v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56</v>
      </c>
      <c r="Y36" s="225" t="str">
        <f>IF(A36="new.cod","NEWCOD",IF(AND((Z36=""),ISTEXT(A36)),A36,IF(Z36="","",INDEX('[1]liste reference'!$A$8:$A$904,Z36))))</f>
        <v>EQUSPX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283</v>
      </c>
      <c r="AA36" s="226"/>
      <c r="AB36" s="227"/>
      <c r="AC36" s="227"/>
      <c r="BB36" s="8">
        <f t="shared" si="7"/>
        <v>1</v>
      </c>
    </row>
    <row r="37" spans="1:54" ht="12.75">
      <c r="A37" s="228" t="s">
        <v>92</v>
      </c>
      <c r="B37" s="229">
        <v>0</v>
      </c>
      <c r="C37" s="230">
        <v>0.01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Agrostis stolonifera</v>
      </c>
      <c r="E37" s="231" t="e">
        <f>IF(D37="",,VLOOKUP(D37,D$22:D36,1,0))</f>
        <v>#N/A</v>
      </c>
      <c r="F37" s="236">
        <f t="shared" si="0"/>
        <v>0.0015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10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1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Agrostis stolonifera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1543</v>
      </c>
      <c r="Q37" s="221">
        <f t="shared" si="1"/>
        <v>0.0015</v>
      </c>
      <c r="R37" s="222">
        <f t="shared" si="2"/>
        <v>1</v>
      </c>
      <c r="S37" s="222">
        <f t="shared" si="3"/>
        <v>10</v>
      </c>
      <c r="T37" s="222">
        <f t="shared" si="4"/>
        <v>10</v>
      </c>
      <c r="U37" s="234">
        <f t="shared" si="5"/>
        <v>1</v>
      </c>
      <c r="V37" s="223">
        <f t="shared" si="6"/>
      </c>
      <c r="W37" s="224" t="s">
        <v>56</v>
      </c>
      <c r="Y37" s="225" t="str">
        <f>IF(A37="new.cod","NEWCOD",IF(AND((Z37=""),ISTEXT(A37)),A37,IF(Z37="","",INDEX('[1]liste reference'!$A$8:$A$904,Z37))))</f>
        <v>AGRSTO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514</v>
      </c>
      <c r="AA37" s="226"/>
      <c r="AB37" s="227"/>
      <c r="AC37" s="227"/>
      <c r="BB37" s="8">
        <f t="shared" si="7"/>
        <v>1</v>
      </c>
    </row>
    <row r="38" spans="1:54" ht="12.75">
      <c r="A38" s="228" t="s">
        <v>93</v>
      </c>
      <c r="B38" s="229">
        <v>0</v>
      </c>
      <c r="C38" s="230">
        <v>0.01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Mentha longifolia</v>
      </c>
      <c r="E38" s="231" t="e">
        <f>IF(D38="",,VLOOKUP(D38,D$22:D37,1,0))</f>
        <v>#N/A</v>
      </c>
      <c r="F38" s="236">
        <f t="shared" si="0"/>
        <v>0.0015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Mentha longifolia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19856</v>
      </c>
      <c r="Q38" s="221">
        <f t="shared" si="1"/>
        <v>0.0015</v>
      </c>
      <c r="R38" s="222">
        <f t="shared" si="2"/>
        <v>1</v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56</v>
      </c>
      <c r="Y38" s="225" t="str">
        <f>IF(A38="new.cod","NEWCOD",IF(AND((Z38=""),ISTEXT(A38)),A38,IF(Z38="","",INDEX('[1]liste reference'!$A$8:$A$904,Z38))))</f>
        <v>MENLON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609</v>
      </c>
      <c r="AA38" s="226"/>
      <c r="AB38" s="227"/>
      <c r="AC38" s="227"/>
      <c r="BB38" s="8">
        <f t="shared" si="7"/>
        <v>1</v>
      </c>
    </row>
    <row r="39" spans="1:54" ht="12.75">
      <c r="A39" s="228" t="s">
        <v>94</v>
      </c>
      <c r="B39" s="229">
        <v>0</v>
      </c>
      <c r="C39" s="230">
        <v>0.01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Phalaris arundinacea</v>
      </c>
      <c r="E39" s="231" t="e">
        <f>IF(D39="",,VLOOKUP(D39,D$22:D38,1,0))</f>
        <v>#N/A</v>
      </c>
      <c r="F39" s="236">
        <f t="shared" si="0"/>
        <v>0.0015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10</v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1</v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Phalaris arundinacea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1577</v>
      </c>
      <c r="Q39" s="221">
        <f t="shared" si="1"/>
        <v>0.0015</v>
      </c>
      <c r="R39" s="222">
        <f t="shared" si="2"/>
        <v>1</v>
      </c>
      <c r="S39" s="222">
        <f t="shared" si="3"/>
        <v>10</v>
      </c>
      <c r="T39" s="222">
        <f t="shared" si="4"/>
        <v>10</v>
      </c>
      <c r="U39" s="234">
        <f t="shared" si="5"/>
        <v>1</v>
      </c>
      <c r="V39" s="223">
        <f t="shared" si="6"/>
      </c>
      <c r="W39" s="224" t="s">
        <v>56</v>
      </c>
      <c r="Y39" s="225" t="str">
        <f>IF(A39="new.cod","NEWCOD",IF(AND((Z39=""),ISTEXT(A39)),A39,IF(Z39="","",INDEX('[1]liste reference'!$A$8:$A$904,Z39))))</f>
        <v>PHAARU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634</v>
      </c>
      <c r="AA39" s="226"/>
      <c r="AB39" s="227"/>
      <c r="AC39" s="227"/>
      <c r="BB39" s="8">
        <f t="shared" si="7"/>
        <v>1</v>
      </c>
    </row>
    <row r="40" spans="1:54" ht="12.75">
      <c r="A40" s="228" t="s">
        <v>95</v>
      </c>
      <c r="B40" s="229">
        <v>0</v>
      </c>
      <c r="C40" s="230">
        <v>0.01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Veronica anagallis-aquatica</v>
      </c>
      <c r="E40" s="231" t="e">
        <f>IF(D40="",,VLOOKUP(D40,D$22:D39,1,0))</f>
        <v>#N/A</v>
      </c>
      <c r="F40" s="236">
        <f t="shared" si="0"/>
        <v>0.0015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11</v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2</v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Veronica anagallis-aquatica</v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1955</v>
      </c>
      <c r="Q40" s="221">
        <f t="shared" si="1"/>
        <v>0.0015</v>
      </c>
      <c r="R40" s="222">
        <f t="shared" si="2"/>
        <v>1</v>
      </c>
      <c r="S40" s="222">
        <f t="shared" si="3"/>
        <v>11</v>
      </c>
      <c r="T40" s="222">
        <f t="shared" si="4"/>
        <v>22</v>
      </c>
      <c r="U40" s="234">
        <f t="shared" si="5"/>
        <v>2</v>
      </c>
      <c r="V40" s="223">
        <f t="shared" si="6"/>
      </c>
      <c r="W40" s="224" t="s">
        <v>56</v>
      </c>
      <c r="Y40" s="225" t="str">
        <f>IF(A40="new.cod","NEWCOD",IF(AND((Z40=""),ISTEXT(A40)),A40,IF(Z40="","",INDEX('[1]liste reference'!$A$8:$A$904,Z40))))</f>
        <v>VERANA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682</v>
      </c>
      <c r="AA40" s="226"/>
      <c r="AB40" s="227"/>
      <c r="AC40" s="227"/>
      <c r="BB40" s="8">
        <f t="shared" si="7"/>
        <v>1</v>
      </c>
    </row>
    <row r="41" spans="1:54" ht="12.75">
      <c r="A41" s="228" t="s">
        <v>96</v>
      </c>
      <c r="B41" s="229">
        <v>0</v>
      </c>
      <c r="C41" s="230">
        <v>0.01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Deschampsia cespitosa</v>
      </c>
      <c r="E41" s="231" t="e">
        <f>IF(D41="",,VLOOKUP(D41,D$22:D40,1,0))</f>
        <v>#N/A</v>
      </c>
      <c r="F41" s="236">
        <f t="shared" si="0"/>
        <v>0.0015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PHg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9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Deschampsia cespitosa</v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1557</v>
      </c>
      <c r="Q41" s="221">
        <f t="shared" si="1"/>
        <v>0.0015</v>
      </c>
      <c r="R41" s="222">
        <f t="shared" si="2"/>
        <v>1</v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56</v>
      </c>
      <c r="Y41" s="225" t="str">
        <f>IF(A41="new.cod","NEWCOD",IF(AND((Z41=""),ISTEXT(A41)),A41,IF(Z41="","",INDEX('[1]liste reference'!$A$8:$A$904,Z41))))</f>
        <v>DESCES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727</v>
      </c>
      <c r="AA41" s="226"/>
      <c r="AB41" s="227"/>
      <c r="AC41" s="227"/>
      <c r="BB41" s="8">
        <f t="shared" si="7"/>
        <v>1</v>
      </c>
    </row>
    <row r="42" spans="1:54" ht="12.75">
      <c r="A42" s="228" t="s">
        <v>97</v>
      </c>
      <c r="B42" s="229">
        <v>0</v>
      </c>
      <c r="C42" s="230">
        <v>0.01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Rorippa islandica</v>
      </c>
      <c r="E42" s="231" t="e">
        <f>IF(D42="",,VLOOKUP(D42,D$22:D41,1,0))</f>
        <v>#N/A</v>
      </c>
      <c r="F42" s="236">
        <f t="shared" si="0"/>
        <v>0.0015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PHg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9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Rorippa islandica</v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1766</v>
      </c>
      <c r="Q42" s="221">
        <f t="shared" si="1"/>
        <v>0.0015</v>
      </c>
      <c r="R42" s="222">
        <f t="shared" si="2"/>
        <v>1</v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56</v>
      </c>
      <c r="Y42" s="225" t="str">
        <f>IF(A42="new.cod","NEWCOD",IF(AND((Z42=""),ISTEXT(A42)),A42,IF(Z42="","",INDEX('[1]liste reference'!$A$8:$A$904,Z42))))</f>
        <v>RORISL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808</v>
      </c>
      <c r="AA42" s="226"/>
      <c r="AB42" s="227"/>
      <c r="AC42" s="227"/>
      <c r="BB42" s="8">
        <f t="shared" si="7"/>
        <v>1</v>
      </c>
    </row>
    <row r="43" spans="1:54" ht="12.75">
      <c r="A43" s="228" t="s">
        <v>98</v>
      </c>
      <c r="B43" s="229">
        <v>0</v>
      </c>
      <c r="C43" s="230">
        <v>0.02</v>
      </c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0.003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    -</v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Encyonema</v>
      </c>
      <c r="L43" s="233"/>
      <c r="M43" s="233"/>
      <c r="N43" s="233"/>
      <c r="O43" s="220"/>
      <c r="P43" s="220" t="str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No</v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56</v>
      </c>
      <c r="Y43" s="225" t="str">
        <f>IF(A43="new.cod","NEWCOD",IF(AND((Z43=""),ISTEXT(A43)),A43,IF(Z43="","",INDEX('[1]liste reference'!$A$8:$A$904,Z43))))</f>
        <v>newcod</v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 t="s">
        <v>99</v>
      </c>
      <c r="AC43" s="227"/>
      <c r="BB43" s="8">
        <f t="shared" si="7"/>
        <v>1</v>
      </c>
    </row>
    <row r="44" spans="1:54" ht="12.75">
      <c r="A44" s="228" t="s">
        <v>56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56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56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56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56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56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56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56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56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56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56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56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56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56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56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56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56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56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56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56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56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56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56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56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56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56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56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56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56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56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56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56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56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56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56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56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56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56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56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56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56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56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56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56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56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56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56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56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56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56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56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56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56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56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56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56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56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56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56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56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56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56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56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56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56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56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56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56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56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56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56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56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56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56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56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56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5" t="s">
        <v>56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8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7" t="s">
        <v>56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59" t="s">
        <v>100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FIER</v>
      </c>
      <c r="B84" s="265" t="str">
        <f>C3</f>
        <v>FIER A MOTZ</v>
      </c>
      <c r="C84" s="266">
        <f>A4</f>
        <v>41472</v>
      </c>
      <c r="D84" s="267">
        <f>IF(ISERROR(SUM($T$23:$T$82)/SUM($U$23:$U$82)),"",SUM($T$23:$T$82)/SUM($U$23:$U$82))</f>
        <v>10</v>
      </c>
      <c r="E84" s="268">
        <f>N13</f>
        <v>21</v>
      </c>
      <c r="F84" s="265">
        <f>N14</f>
        <v>16</v>
      </c>
      <c r="G84" s="265">
        <f>N15</f>
        <v>9</v>
      </c>
      <c r="H84" s="265">
        <f>N16</f>
        <v>7</v>
      </c>
      <c r="I84" s="265">
        <f>N17</f>
        <v>0</v>
      </c>
      <c r="J84" s="269">
        <f>N8</f>
        <v>10.5625</v>
      </c>
      <c r="K84" s="267">
        <f>N9</f>
        <v>2.9993488876754566</v>
      </c>
      <c r="L84" s="268">
        <f>N10</f>
        <v>4</v>
      </c>
      <c r="M84" s="268">
        <f>N11</f>
        <v>15</v>
      </c>
      <c r="N84" s="267">
        <f>O8</f>
        <v>1.4375</v>
      </c>
      <c r="O84" s="267">
        <f>O9</f>
        <v>0.49607837082461076</v>
      </c>
      <c r="P84" s="268">
        <f>O10</f>
        <v>1</v>
      </c>
      <c r="Q84" s="268">
        <f>O11</f>
        <v>2</v>
      </c>
      <c r="R84" s="268">
        <f>F21</f>
        <v>59.2025</v>
      </c>
      <c r="S84" s="268">
        <f>K11</f>
        <v>0</v>
      </c>
      <c r="T84" s="268">
        <f>K12</f>
        <v>7</v>
      </c>
      <c r="U84" s="268">
        <f>K13</f>
        <v>6</v>
      </c>
      <c r="V84" s="270">
        <f>K14</f>
        <v>1</v>
      </c>
      <c r="W84" s="271">
        <f>K15</f>
        <v>6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101</v>
      </c>
      <c r="R86" s="8"/>
      <c r="S86" s="223"/>
      <c r="T86" s="8"/>
      <c r="U86" s="8"/>
      <c r="V86" s="8"/>
    </row>
    <row r="87" spans="16:22" ht="12.75" hidden="1">
      <c r="P87" s="8"/>
      <c r="Q87" s="8" t="s">
        <v>102</v>
      </c>
      <c r="R87" s="8"/>
      <c r="S87" s="223">
        <f>VLOOKUP(MAX($S$23:$S$82),($S$23:$U$82),1,0)</f>
        <v>39</v>
      </c>
      <c r="T87" s="8"/>
      <c r="U87" s="8"/>
      <c r="V87" s="8"/>
    </row>
    <row r="88" spans="16:22" ht="12.75" hidden="1">
      <c r="P88" s="8"/>
      <c r="Q88" s="8" t="s">
        <v>103</v>
      </c>
      <c r="R88" s="8"/>
      <c r="S88" s="223">
        <f>VLOOKUP((S87),($S$23:$U$82),2,0)</f>
        <v>78</v>
      </c>
      <c r="T88" s="8"/>
      <c r="U88" s="8"/>
      <c r="V88" s="8"/>
    </row>
    <row r="89" spans="17:20" ht="12.75" hidden="1">
      <c r="Q89" s="8" t="s">
        <v>104</v>
      </c>
      <c r="R89" s="8"/>
      <c r="S89" s="223">
        <f>VLOOKUP((S87),($S$23:$U$82),3,0)</f>
        <v>6</v>
      </c>
      <c r="T89" s="8"/>
    </row>
    <row r="90" spans="17:20" ht="12.75">
      <c r="Q90" s="8" t="s">
        <v>105</v>
      </c>
      <c r="R90" s="8"/>
      <c r="S90" s="274">
        <f>IF(ISERROR(SUM($T$23:$T$82)/SUM($U$23:$U$82)),"",(SUM($T$23:$T$82)-S88)/(SUM($U$23:$U$82)-S89))</f>
        <v>9.513513513513514</v>
      </c>
      <c r="T90" s="8"/>
    </row>
    <row r="91" spans="17:21" ht="12.75">
      <c r="Q91" s="222" t="s">
        <v>106</v>
      </c>
      <c r="R91" s="222"/>
      <c r="S91" s="222" t="str">
        <f>INDEX('[1]liste reference'!$A$8:$A$904,$T$91)</f>
        <v>CINRIP</v>
      </c>
      <c r="T91" s="8">
        <f>IF(ISERROR(MATCH($S$93,'[1]liste reference'!$A$8:$A$904,0)),MATCH($S$93,'[1]liste reference'!$B$8:$B$904,0),(MATCH($S$93,'[1]liste reference'!$A$8:$A$904,0)))</f>
        <v>174</v>
      </c>
      <c r="U91" s="263"/>
    </row>
    <row r="92" spans="17:20" ht="12.75">
      <c r="Q92" s="8" t="s">
        <v>107</v>
      </c>
      <c r="R92" s="8"/>
      <c r="S92" s="8">
        <f>MATCH(S87,$S$23:$S$82,0)</f>
        <v>10</v>
      </c>
      <c r="T92" s="8"/>
    </row>
    <row r="93" spans="17:20" ht="12.75">
      <c r="Q93" s="222" t="s">
        <v>108</v>
      </c>
      <c r="R93" s="8"/>
      <c r="S93" s="222" t="str">
        <f>INDEX($A$23:$A$82,$S$92)</f>
        <v>CINRIP</v>
      </c>
      <c r="T93" s="8"/>
    </row>
    <row r="94" ht="12.75">
      <c r="S94" s="263"/>
    </row>
  </sheetData>
  <sheetProtection password="C39F" sheet="1" objects="1" scenarios="1"/>
  <mergeCells count="11">
    <mergeCell ref="I18:J18"/>
    <mergeCell ref="K22:O22"/>
    <mergeCell ref="Y83:Z83"/>
    <mergeCell ref="A8:C8"/>
    <mergeCell ref="I11:J11"/>
    <mergeCell ref="I12:J12"/>
    <mergeCell ref="I17:J17"/>
    <mergeCell ref="I13:J13"/>
    <mergeCell ref="I14:J14"/>
    <mergeCell ref="I15:J15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2013-12-17T07:53:57Z</dcterms:created>
  <dcterms:modified xsi:type="dcterms:W3CDTF">2013-12-17T07:53:59Z</dcterms:modified>
  <cp:category/>
  <cp:version/>
  <cp:contentType/>
  <cp:contentStatus/>
</cp:coreProperties>
</file>