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<sst xmlns="http://schemas.openxmlformats.org/spreadsheetml/2006/main" count="217" uniqueCount="94">
  <si>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</si>
  <si>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</si>
  <si>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</si>
  <si>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</si>
  <si>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</si>
  <si>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RHONE</t>
  </si>
  <si>
    <t>RHONE A CULOZ</t>
  </si>
  <si>
    <t>06072300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</si>
  <si>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</si>
  <si>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</si>
  <si>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</si>
  <si>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</si>
  <si>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</si>
  <si>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</si>
  <si>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</si>
  <si>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</si>
  <si>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</si>
  <si>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</si>
  <si>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lotique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</si>
  <si>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</si>
  <si>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</si>
  <si>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</si>
  <si>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</si>
  <si>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</si>
  <si>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</si>
  <si>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</si>
  <si>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</si>
  <si>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</si>
  <si>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</si>
  <si>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</si>
  <si>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</si>
  <si>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</si>
  <si>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</si>
  <si>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</si>
  <si>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</si>
  <si>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</si>
  <si>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</si>
  <si>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</si>
  <si>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</si>
  <si>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</si>
  <si>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</si>
  <si>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</si>
  <si>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</si>
  <si>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</si>
  <si>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</si>
  <si>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</si>
  <si>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</si>
  <si>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</si>
  <si>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</si>
  <si>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</si>
  <si>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</si>
  <si>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</si>
  <si>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</si>
  <si>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</si>
  <si>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</si>
  <si>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</si>
  <si>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</si>
  <si>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</si>
  <si>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</si>
  <si>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</si>
  <si>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</si>
  <si>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</si>
  <si>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</si>
  <si>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</si>
  <si>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</si>
  <si>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</si>
  <si>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</si>
  <si>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</si>
  <si>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</si>
  <si>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</si>
  <si>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</si>
  <si>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</si>
  <si>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</si>
  <si>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</si>
  <si>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</si>
  <si>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</si>
  <si>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</si>
  <si>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</si>
  <si>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</si>
  <si>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RHISPX</t>
  </si>
  <si>
    <t>SPISPX</t>
  </si>
  <si>
    <t>VAUSPX</t>
  </si>
  <si>
    <t>CALPLA</t>
  </si>
  <si>
    <t>POTPEC</t>
  </si>
  <si>
    <t>PHRAUS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</si>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</sst>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HOCU_05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3" sqref="B3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7.083333333333333</v>
      </c>
      <c r="M5" s="52"/>
      <c r="N5" s="53" t="s">
        <v>16</v>
      </c>
      <c r="O5" s="54">
        <v>5.111111111111111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42</v>
      </c>
      <c r="C7" s="66">
        <v>58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7.25</v>
      </c>
      <c r="O8" s="84">
        <f>IF(ISERROR(AVERAGE(J23:J82)),"      -",AVERAGE(J23:J82))</f>
        <v>1.5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2.85</v>
      </c>
      <c r="C9" s="87">
        <v>21.03</v>
      </c>
      <c r="D9" s="88"/>
      <c r="E9" s="88"/>
      <c r="F9" s="89">
        <f aca="true" t="shared" si="0" ref="F9:F15">($B9*$B$7+$C9*$C$7)/100</f>
        <v>13.394400000000001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3.5619517121937516</v>
      </c>
      <c r="O9" s="84">
        <f>IF(ISERROR(STDEVP(J23:J82)),"      -",STDEVP(J23:J82))</f>
        <v>0.5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0.71</v>
      </c>
      <c r="C12" s="120">
        <v>15.13</v>
      </c>
      <c r="D12" s="111"/>
      <c r="E12" s="111"/>
      <c r="F12" s="112">
        <f t="shared" si="0"/>
        <v>9.0736</v>
      </c>
      <c r="G12" s="121"/>
      <c r="H12" s="67"/>
      <c r="I12" s="122" t="s">
        <v>38</v>
      </c>
      <c r="J12" s="123"/>
      <c r="K12" s="116">
        <f>COUNTIF($G$23:$G$82,"=ALG")</f>
        <v>5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/>
      <c r="D13" s="111"/>
      <c r="E13" s="111"/>
      <c r="F13" s="112">
        <f t="shared" si="0"/>
        <v>0</v>
      </c>
      <c r="G13" s="121"/>
      <c r="H13" s="67"/>
      <c r="I13" s="129" t="s">
        <v>40</v>
      </c>
      <c r="J13" s="123"/>
      <c r="K13" s="116">
        <f>COUNTIF($G$23:$G$82,"=BRm")+COUNTIF($G$23:$G$82,"=BRh")</f>
        <v>0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2.14</v>
      </c>
      <c r="C15" s="139">
        <v>5.9</v>
      </c>
      <c r="D15" s="111"/>
      <c r="E15" s="111"/>
      <c r="F15" s="112">
        <f t="shared" si="0"/>
        <v>4.3208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3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0.71</v>
      </c>
      <c r="C17" s="120">
        <v>15.13</v>
      </c>
      <c r="D17" s="111"/>
      <c r="E17" s="111"/>
      <c r="F17" s="147"/>
      <c r="G17" s="112">
        <f>($B17*$B$7+$C17*$C$7)/100</f>
        <v>9.0736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2.14</v>
      </c>
      <c r="C18" s="151">
        <v>5.9</v>
      </c>
      <c r="D18" s="111"/>
      <c r="E18" s="152" t="s">
        <v>53</v>
      </c>
      <c r="F18" s="147"/>
      <c r="G18" s="112">
        <f>($B18*$B$7+$C18*$C$7)/100</f>
        <v>4.3208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13.394400000000001</v>
      </c>
      <c r="G19" s="161">
        <f>SUM(G16:G18)</f>
        <v>13.394400000000001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2.857142857142857</v>
      </c>
      <c r="C20" s="171">
        <f>SUM(C23:C82)</f>
        <v>21.025641025641026</v>
      </c>
      <c r="D20" s="172"/>
      <c r="E20" s="173" t="s">
        <v>53</v>
      </c>
      <c r="F20" s="174">
        <f>($B20*$B$7+$C20*$C$7)/100</f>
        <v>13.394871794871795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1.2</v>
      </c>
      <c r="C21" s="184">
        <f>C20*C7/100</f>
        <v>12.194871794871794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13.394871794871793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</v>
      </c>
      <c r="C23" s="212">
        <v>0.6410256410256411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0.3717948717948718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0.3717948717948718</v>
      </c>
      <c r="R23" s="222">
        <f aca="true" t="shared" si="3" ref="R23:R82">IF(OR(ISTEXT(H23),Q23=0),"",IF(Q23&lt;0.1,1,IF(Q23&lt;1,2,IF(Q23&lt;10,3,IF(Q23&lt;50,4,IF(Q23&gt;=50,5,""))))))</f>
        <v>2</v>
      </c>
      <c r="S23" s="222">
        <f aca="true" t="shared" si="4" ref="S23:S82">IF(ISERROR(R23*I23),0,R23*I23)</f>
        <v>12</v>
      </c>
      <c r="T23" s="222">
        <f aca="true" t="shared" si="5" ref="T23:T82">IF(ISERROR(R23*I23*J23),0,R23*I23*J23)</f>
        <v>12</v>
      </c>
      <c r="U23" s="222">
        <f aca="true" t="shared" si="6" ref="U23:U82">IF(ISERROR(R23*J23),0,R23*J23)</f>
        <v>2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16</v>
      </c>
      <c r="B24" s="229">
        <v>0.17857142857142858</v>
      </c>
      <c r="C24" s="230">
        <v>9.871794871794872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31" t="e">
        <f>IF(D24="",,VLOOKUP(D24,D$22:D23,1,0))</f>
        <v>#N/A</v>
      </c>
      <c r="F24" s="232">
        <f t="shared" si="1"/>
        <v>5.800641025641025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1">
        <f t="shared" si="2"/>
        <v>5.800641025641026</v>
      </c>
      <c r="R24" s="222">
        <f t="shared" si="3"/>
        <v>3</v>
      </c>
      <c r="S24" s="222">
        <f t="shared" si="4"/>
        <v>39</v>
      </c>
      <c r="T24" s="222">
        <f t="shared" si="5"/>
        <v>78</v>
      </c>
      <c r="U24" s="234">
        <f t="shared" si="6"/>
        <v>6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6"/>
      <c r="AB24" s="227"/>
      <c r="AC24" s="227"/>
      <c r="BB24" s="8">
        <f t="shared" si="8"/>
        <v>1</v>
      </c>
    </row>
    <row r="25" spans="1:54" ht="12.75">
      <c r="A25" s="228" t="s">
        <v>79</v>
      </c>
      <c r="B25" s="229">
        <v>0.17857142857142858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Rhizoclonium sp.</v>
      </c>
      <c r="E25" s="231" t="e">
        <f>IF(D25="",,VLOOKUP(D25,D$22:D24,1,0))</f>
        <v>#N/A</v>
      </c>
      <c r="F25" s="232">
        <f t="shared" si="1"/>
        <v>0.075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Rhizoclonium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1125</v>
      </c>
      <c r="Q25" s="221">
        <f t="shared" si="2"/>
        <v>0.075</v>
      </c>
      <c r="R25" s="222">
        <f t="shared" si="3"/>
        <v>1</v>
      </c>
      <c r="S25" s="222">
        <f t="shared" si="4"/>
        <v>4</v>
      </c>
      <c r="T25" s="222">
        <f t="shared" si="5"/>
        <v>8</v>
      </c>
      <c r="U25" s="234">
        <f t="shared" si="6"/>
        <v>2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RHISPX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62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80</v>
      </c>
      <c r="B26" s="229">
        <v>0.17857142857142858</v>
      </c>
      <c r="C26" s="230">
        <v>0.7692307692307693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31" t="e">
        <f>IF(D26="",,VLOOKUP(D26,D$22:D25,1,0))</f>
        <v>#N/A</v>
      </c>
      <c r="F26" s="232">
        <f t="shared" si="1"/>
        <v>0.5211538461538462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21">
        <f t="shared" si="2"/>
        <v>0.5211538461538462</v>
      </c>
      <c r="R26" s="222">
        <f t="shared" si="3"/>
        <v>2</v>
      </c>
      <c r="S26" s="222">
        <f t="shared" si="4"/>
        <v>20</v>
      </c>
      <c r="T26" s="222">
        <f t="shared" si="5"/>
        <v>20</v>
      </c>
      <c r="U26" s="234">
        <f t="shared" si="6"/>
        <v>2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81</v>
      </c>
      <c r="B27" s="229">
        <v>0.17857142857142858</v>
      </c>
      <c r="C27" s="230">
        <v>3.8461538461538463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 t="shared" si="1"/>
        <v>2.305769230769231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 t="shared" si="2"/>
        <v>2.305769230769231</v>
      </c>
      <c r="R27" s="222">
        <f t="shared" si="3"/>
        <v>3</v>
      </c>
      <c r="S27" s="222">
        <f t="shared" si="4"/>
        <v>12</v>
      </c>
      <c r="T27" s="222">
        <f t="shared" si="5"/>
        <v>12</v>
      </c>
      <c r="U27" s="234">
        <f t="shared" si="6"/>
        <v>3</v>
      </c>
      <c r="V27" s="223">
        <f t="shared" si="7"/>
      </c>
      <c r="W27" s="235" t="s">
        <v>54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82</v>
      </c>
      <c r="B28" s="229">
        <v>0</v>
      </c>
      <c r="C28" s="230">
        <v>0.1282051282051282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Callitriche platycarpa</v>
      </c>
      <c r="E28" s="231" t="e">
        <f>IF(D28="",,VLOOKUP(D28,D$22:D27,1,0))</f>
        <v>#N/A</v>
      </c>
      <c r="F28" s="232">
        <f t="shared" si="1"/>
        <v>0.07435897435897436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Callitriche platycarpa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1702</v>
      </c>
      <c r="Q28" s="221">
        <f t="shared" si="2"/>
        <v>0.07435897435897436</v>
      </c>
      <c r="R28" s="222">
        <f t="shared" si="3"/>
        <v>1</v>
      </c>
      <c r="S28" s="222">
        <f t="shared" si="4"/>
        <v>10</v>
      </c>
      <c r="T28" s="222">
        <f t="shared" si="5"/>
        <v>10</v>
      </c>
      <c r="U28" s="234">
        <f t="shared" si="6"/>
        <v>1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CALPLA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322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83</v>
      </c>
      <c r="B29" s="229">
        <v>2.142857142857143</v>
      </c>
      <c r="C29" s="230">
        <v>5.641025641025641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Potamogeton pectinatus</v>
      </c>
      <c r="E29" s="231" t="e">
        <f>IF(D29="",,VLOOKUP(D29,D$22:D28,1,0))</f>
        <v>#N/A</v>
      </c>
      <c r="F29" s="232">
        <f t="shared" si="1"/>
        <v>4.171794871794872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Potamogeton pectinatus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1655</v>
      </c>
      <c r="Q29" s="221">
        <f t="shared" si="2"/>
        <v>4.171794871794872</v>
      </c>
      <c r="R29" s="222">
        <f t="shared" si="3"/>
        <v>3</v>
      </c>
      <c r="S29" s="222">
        <f t="shared" si="4"/>
        <v>6</v>
      </c>
      <c r="T29" s="222">
        <f t="shared" si="5"/>
        <v>12</v>
      </c>
      <c r="U29" s="234">
        <f t="shared" si="6"/>
        <v>6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POTPEC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421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84</v>
      </c>
      <c r="B30" s="229">
        <v>0</v>
      </c>
      <c r="C30" s="230">
        <v>0.1282051282051282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Phragmites australis</v>
      </c>
      <c r="E30" s="231" t="e">
        <f>IF(D30="",,VLOOKUP(D30,D$22:D29,1,0))</f>
        <v>#N/A</v>
      </c>
      <c r="F30" s="232">
        <f t="shared" si="1"/>
        <v>0.07435897435897436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9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Phragmites australis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1579</v>
      </c>
      <c r="Q30" s="221">
        <f t="shared" si="2"/>
        <v>0.07435897435897436</v>
      </c>
      <c r="R30" s="222">
        <f t="shared" si="3"/>
        <v>1</v>
      </c>
      <c r="S30" s="222">
        <f t="shared" si="4"/>
        <v>9</v>
      </c>
      <c r="T30" s="222">
        <f t="shared" si="5"/>
        <v>18</v>
      </c>
      <c r="U30" s="234">
        <f t="shared" si="6"/>
        <v>2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PHRAUS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635</v>
      </c>
      <c r="AA30" s="226"/>
      <c r="AB30" s="227"/>
      <c r="AC30" s="227"/>
      <c r="BB30" s="8">
        <f t="shared" si="8"/>
        <v>1</v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1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8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8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RHONE</v>
      </c>
      <c r="B84" s="265" t="str">
        <f>C3</f>
        <v>RHONE A CULOZ</v>
      </c>
      <c r="C84" s="266">
        <f>A4</f>
        <v>41522</v>
      </c>
      <c r="D84" s="267">
        <f>IF(ISERROR(SUM($T$23:$T$82)/SUM($U$23:$U$82)),"",SUM($T$23:$T$82)/SUM($U$23:$U$82))</f>
        <v>7.083333333333333</v>
      </c>
      <c r="E84" s="268">
        <f>N13</f>
        <v>8</v>
      </c>
      <c r="F84" s="265">
        <f>N14</f>
        <v>8</v>
      </c>
      <c r="G84" s="265">
        <f>N15</f>
        <v>4</v>
      </c>
      <c r="H84" s="265">
        <f>N16</f>
        <v>4</v>
      </c>
      <c r="I84" s="265">
        <f>N17</f>
        <v>0</v>
      </c>
      <c r="J84" s="269">
        <f>N8</f>
        <v>7.25</v>
      </c>
      <c r="K84" s="267">
        <f>N9</f>
        <v>3.5619517121937516</v>
      </c>
      <c r="L84" s="268">
        <f>N10</f>
        <v>2</v>
      </c>
      <c r="M84" s="268">
        <f>N11</f>
        <v>13</v>
      </c>
      <c r="N84" s="267">
        <f>O8</f>
        <v>1.5</v>
      </c>
      <c r="O84" s="267">
        <f>O9</f>
        <v>0.5</v>
      </c>
      <c r="P84" s="268">
        <f>O10</f>
        <v>1</v>
      </c>
      <c r="Q84" s="268">
        <f>O11</f>
        <v>2</v>
      </c>
      <c r="R84" s="268">
        <f>F21</f>
        <v>13.394871794871793</v>
      </c>
      <c r="S84" s="268">
        <f>K11</f>
        <v>0</v>
      </c>
      <c r="T84" s="268">
        <f>K12</f>
        <v>5</v>
      </c>
      <c r="U84" s="268">
        <f>K13</f>
        <v>0</v>
      </c>
      <c r="V84" s="270">
        <f>K14</f>
        <v>0</v>
      </c>
      <c r="W84" s="271">
        <f>K15</f>
        <v>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78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6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5.111111111111111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3"/>
    </row>
    <row r="92" spans="17:20" ht="12.75">
      <c r="Q92" s="8" t="s">
        <v>92</v>
      </c>
      <c r="R92" s="8"/>
      <c r="S92" s="8">
        <f>MATCH(S87,$S$23:$S$82,0)</f>
        <v>2</v>
      </c>
      <c r="T92" s="8"/>
    </row>
    <row r="93" spans="17:20" ht="12.75">
      <c r="Q93" s="222" t="s">
        <v>93</v>
      </c>
      <c r="R93" s="8"/>
      <c r="S93" s="222" t="str">
        <f>INDEX($A$23:$A$82,$S$92)</f>
        <v>PHOSPX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2014-02-05T16:41:06Z</dcterms:created>
  <dcterms:modified xsi:type="dcterms:W3CDTF">2014-02-05T16:41:16Z</dcterms:modified>
  <cp:category/>
  <cp:version/>
  <cp:contentType/>
  <cp:contentStatus/>
</cp:coreProperties>
</file>